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16380" windowHeight="7596" firstSheet="17" activeTab="17"/>
  </bookViews>
  <sheets>
    <sheet name="DK-pracovní2016" sheetId="1" state="hidden" r:id="rId1"/>
    <sheet name="DK2016" sheetId="2" state="hidden" r:id="rId2"/>
    <sheet name="návrh 2017 prac." sheetId="3" state="hidden" r:id="rId3"/>
    <sheet name="návrh 2018 prac. V1" sheetId="4" state="hidden" r:id="rId4"/>
    <sheet name="návrh 2018 prac. V2" sheetId="5" state="hidden" r:id="rId5"/>
    <sheet name="návrh 2018 prac. V3" sheetId="6" state="hidden" r:id="rId6"/>
    <sheet name="návrh 2018 prac.V4 FOH" sheetId="7" state="hidden" r:id="rId7"/>
    <sheet name="návrh 2018 mzdy" sheetId="8" state="hidden" r:id="rId8"/>
    <sheet name="PRAC rozp. 2018" sheetId="9" state="hidden" r:id="rId9"/>
    <sheet name="Roz.Město 2018" sheetId="10" state="hidden" r:id="rId10"/>
    <sheet name="1.Q prac" sheetId="11" state="hidden" r:id="rId11"/>
    <sheet name="1.Q Měú" sheetId="12" state="hidden" r:id="rId12"/>
    <sheet name="04_18 MěÚ" sheetId="13" state="hidden" r:id="rId13"/>
    <sheet name="04_18 prac" sheetId="14" state="hidden" r:id="rId14"/>
    <sheet name="05 prac uprav" sheetId="15" state="hidden" r:id="rId15"/>
    <sheet name="uprav.r 05" sheetId="16" state="hidden" r:id="rId16"/>
    <sheet name="06_18 prac" sheetId="17" state="hidden" r:id="rId17"/>
    <sheet name="06_18 MěÚ" sheetId="18" r:id="rId18"/>
  </sheets>
  <definedNames>
    <definedName name="_xlnm.Print_Area" localSheetId="14">'05 prac uprav'!$A$1:$P$217</definedName>
    <definedName name="_xlnm.Print_Area" localSheetId="10">'1.Q prac'!$A$1:$S$206</definedName>
    <definedName name="_xlnm.Print_Area" localSheetId="2">'návrh 2017 prac.'!$A$1:$P$190</definedName>
    <definedName name="_xlnm.Print_Area" localSheetId="7">'návrh 2018 mzdy'!$A$1:$S$204</definedName>
    <definedName name="_xlnm.Print_Area" localSheetId="3">'návrh 2018 prac. V1'!$A$1:$P$196</definedName>
    <definedName name="_xlnm.Print_Area" localSheetId="8">'PRAC rozp. 2018'!$A$1:$P$204</definedName>
  </definedNames>
  <calcPr fullCalcOnLoad="1"/>
</workbook>
</file>

<file path=xl/sharedStrings.xml><?xml version="1.0" encoding="utf-8"?>
<sst xmlns="http://schemas.openxmlformats.org/spreadsheetml/2006/main" count="4084" uniqueCount="441">
  <si>
    <t>Náklady</t>
  </si>
  <si>
    <t>Oprava a udržování</t>
  </si>
  <si>
    <t>Náklady celkem</t>
  </si>
  <si>
    <t>Výnosy</t>
  </si>
  <si>
    <t>Příspěvek zřizovatele</t>
  </si>
  <si>
    <t>Výnosy celkem</t>
  </si>
  <si>
    <t xml:space="preserve"> Dům kultury Ostrov, Mírové nám. 733</t>
  </si>
  <si>
    <t xml:space="preserve">Náklady </t>
  </si>
  <si>
    <t>Materiál</t>
  </si>
  <si>
    <t>Jiné ostatní náklady</t>
  </si>
  <si>
    <t>Mzdové náklady</t>
  </si>
  <si>
    <t>Tržby z prodeje služeb</t>
  </si>
  <si>
    <t>Jiné ostatní výnosy</t>
  </si>
  <si>
    <t>Výnosy  celkem</t>
  </si>
  <si>
    <t>DK - Stará radnice</t>
  </si>
  <si>
    <t xml:space="preserve">                                                       DK - Klášter</t>
  </si>
  <si>
    <t>Náklady na zajištění služeb</t>
  </si>
  <si>
    <t>Schválený</t>
  </si>
  <si>
    <t>Náklady na zajištění  služeb</t>
  </si>
  <si>
    <t>Příspěvek zřizovatele - DFTF OH</t>
  </si>
  <si>
    <t>Tisk a roznos Ostrovského měsíčníku</t>
  </si>
  <si>
    <t>Příspěvek na tisk a roznos OM</t>
  </si>
  <si>
    <t>rozpis rozpočtu</t>
  </si>
  <si>
    <t xml:space="preserve">Upravený </t>
  </si>
  <si>
    <t>Trhy a slavnosti na náměstí</t>
  </si>
  <si>
    <t>Kultura v Točně</t>
  </si>
  <si>
    <t>Michaelská pouť</t>
  </si>
  <si>
    <t>Koncerty pop, rock, metal</t>
  </si>
  <si>
    <t>Hurá prázdniny!</t>
  </si>
  <si>
    <t>Příspěvek na rozsvěcení vánoč. stromu</t>
  </si>
  <si>
    <t>Příspěvek na akce "Kultura v Točně"</t>
  </si>
  <si>
    <t>Příspěvek na Michaelskou pouť</t>
  </si>
  <si>
    <t>Příspěvek na koncerty pop, rock a metal</t>
  </si>
  <si>
    <t>Příspěvek na akci Hurá prázdniny!</t>
  </si>
  <si>
    <t>pára a ohřev  920 000</t>
  </si>
  <si>
    <t>Příspěvek na Mez. Folk.fest.,Tramp.scéna</t>
  </si>
  <si>
    <t>vodné, stočné  11 000</t>
  </si>
  <si>
    <t>plyn 108 000</t>
  </si>
  <si>
    <t>vodné, stočné  82 000</t>
  </si>
  <si>
    <t>FOH</t>
  </si>
  <si>
    <t>Jazzová scéna</t>
  </si>
  <si>
    <t>Dětská divadla</t>
  </si>
  <si>
    <t>Studentský majales</t>
  </si>
  <si>
    <t>Den pro Ostrov</t>
  </si>
  <si>
    <t>Letní kino</t>
  </si>
  <si>
    <t>Country festival - pivní slavnosti</t>
  </si>
  <si>
    <t>Letní divadelní scéna</t>
  </si>
  <si>
    <t>Příspěvek na Jazzovou scénu</t>
  </si>
  <si>
    <t>Příspěvek na Dětská divadla</t>
  </si>
  <si>
    <t>Příspěvek na Studentský majáles</t>
  </si>
  <si>
    <t>Příspěvek na slavnosti na náměstí</t>
  </si>
  <si>
    <t>Příspěvek na Hudební sezónu - klášter</t>
  </si>
  <si>
    <t>Příspěvek na Mezinárodní  folk.festival</t>
  </si>
  <si>
    <t>Digitalizace kina</t>
  </si>
  <si>
    <t>Příspěvek na "Country fest.- pivní slavnosti</t>
  </si>
  <si>
    <t>vodné, stočné  5 000</t>
  </si>
  <si>
    <t>pára, ohřev  50 000</t>
  </si>
  <si>
    <t>Náklady  Mitte Europa</t>
  </si>
  <si>
    <t>Náklady hudební sezóna -   klášter</t>
  </si>
  <si>
    <t>Náklady - zážitkové prohlídky</t>
  </si>
  <si>
    <t>Příspěvek na organizaci koncertu Mitte Europa</t>
  </si>
  <si>
    <t>Příspěvek na Zážitkové prohlídky</t>
  </si>
  <si>
    <t xml:space="preserve">                                                       DK - Zámek</t>
  </si>
  <si>
    <t>DK - projekty DVORANA, výstavní činnost</t>
  </si>
  <si>
    <t>DK - kurátorská činnost v expozicích</t>
  </si>
  <si>
    <t>DK - akce pohledová zeď</t>
  </si>
  <si>
    <t>Příspěvek DK - kurátorská činnost v expozicích</t>
  </si>
  <si>
    <t>Příspěvek DK - akce pohledová zeď</t>
  </si>
  <si>
    <t>Příspěvek DK - projekty DVORANA, výstavní činnost</t>
  </si>
  <si>
    <t>Rozsvěcení vánočního stromu</t>
  </si>
  <si>
    <t>Příspěvek na "Letní divadelní scénu"</t>
  </si>
  <si>
    <r>
      <t xml:space="preserve">Energie                                                       </t>
    </r>
    <r>
      <rPr>
        <i/>
        <sz val="10"/>
        <rFont val="Times New Roman CE"/>
        <family val="1"/>
      </rPr>
      <t>elektřina  50 000</t>
    </r>
  </si>
  <si>
    <r>
      <t xml:space="preserve">Energie                                                       </t>
    </r>
    <r>
      <rPr>
        <i/>
        <sz val="10"/>
        <rFont val="Times New Roman"/>
        <family val="1"/>
      </rPr>
      <t>elektřina  60 000</t>
    </r>
  </si>
  <si>
    <r>
      <t xml:space="preserve">Energie                                                       </t>
    </r>
    <r>
      <rPr>
        <i/>
        <sz val="10"/>
        <rFont val="Times New Roman CE"/>
        <family val="1"/>
      </rPr>
      <t>elektřina 198 000</t>
    </r>
  </si>
  <si>
    <r>
      <t>Odpisy</t>
    </r>
    <r>
      <rPr>
        <i/>
        <sz val="8"/>
        <rFont val="Times New Roman CE"/>
        <family val="0"/>
      </rPr>
      <t xml:space="preserve"> (- 7894,- Kč - nižší pořiz.cena osvětlovacího pultu)</t>
    </r>
  </si>
  <si>
    <t>Schválené zapojení RF - Ostrovský měsíčník</t>
  </si>
  <si>
    <t>DK - příspěvek na zámek - Stříbrná stezka</t>
  </si>
  <si>
    <t>Příspěvek DK - Stříbrná stezka</t>
  </si>
  <si>
    <t>Rozpočet příspěvkové organizace na rok 2016</t>
  </si>
  <si>
    <t>Návrh</t>
  </si>
  <si>
    <t>Rozdíl</t>
  </si>
  <si>
    <t>POZOR! Nový majetek +</t>
  </si>
  <si>
    <t>?</t>
  </si>
  <si>
    <t>navýšení o 3% dle odborného odhadu</t>
  </si>
  <si>
    <t>Příspěvek na kulturní kalendář Ostrov 2016</t>
  </si>
  <si>
    <t>Náklady - historický piknik</t>
  </si>
  <si>
    <t>Náklady - Klášterní slavnosti</t>
  </si>
  <si>
    <t>Příspěvek na "Klášterní slavnosti"</t>
  </si>
  <si>
    <t>Příspěvek na Historický piknik</t>
  </si>
  <si>
    <t>příl.</t>
  </si>
  <si>
    <t>Velký celoměstský Den dětí</t>
  </si>
  <si>
    <t>Prázdninové diskotéky v Točně</t>
  </si>
  <si>
    <t>Příspěvek na akci "Prázdninové diskotéky"</t>
  </si>
  <si>
    <t>Příspěvek na akci "Letní kino"</t>
  </si>
  <si>
    <t>Příspěvek na akci"Velký celoměstský Den dětí"</t>
  </si>
  <si>
    <t>včetně stočného</t>
  </si>
  <si>
    <t>více akcí, vyšší DPH které nemůžeme nárokovat (HČ vůbec, DČ téměř nulový koeficient)</t>
  </si>
  <si>
    <t>*</t>
  </si>
  <si>
    <t>*pozn.</t>
  </si>
  <si>
    <t xml:space="preserve">(225 000 Kč), kdy ale příspěvky na akce pořádané DK byly pouze ve výši 125 000 Kč, v roce 2015 jsou příspěvky na akce 895 000 Kč. S navýšením akcí </t>
  </si>
  <si>
    <t xml:space="preserve"> souvisí i navýšení veškerých provozních nákladů včetně nákladů na zajištění služeb a mzdových nákladů.</t>
  </si>
  <si>
    <t>V dlouhodobém porovnání položky materiál na provoz DK je částka na rok 2015 naprosto nedostatečná, nižší částku měl DK pouze v rozpočtu roku 2012</t>
  </si>
  <si>
    <t>Náklady - Velký vánoční koncert DK a města O.</t>
  </si>
  <si>
    <t>Příspěvek na Velký vánoční koncert DK a města O</t>
  </si>
  <si>
    <t xml:space="preserve">Dalším nepříznivým faktorem pro tvorbu a čerpání rozpočtu je navýšení dělícího poměru nákladů mezi hlavní a doplňkovou činností o téměř 3%, </t>
  </si>
  <si>
    <t>tedy z poměru 78,42% na 81,40% v roce 2015 v hlavní činnosti.</t>
  </si>
  <si>
    <t xml:space="preserve">město, ceny jsou garantovány do 31. 12. 2015. </t>
  </si>
  <si>
    <t xml:space="preserve">Energie až na drobné výjimky zůstaly v návrhu rozpočtu 2016 stejné, ale za předpokladu, že zůstanou garantované ceny. Firmy dodávající energie vybralo </t>
  </si>
  <si>
    <t>jak dlouho se bude odepisovat?? 2020</t>
  </si>
  <si>
    <t>rozděleno na vodné a stočné, vyšší spotřeba</t>
  </si>
  <si>
    <t>původně v rozpočtu DK</t>
  </si>
  <si>
    <t>tržby 2014  52 920 Kč, letošní do 30. 6 . 2015 9 280 Kč, na radnici se nekonají téměř žádné akce</t>
  </si>
  <si>
    <t>navýšení o drobné opravy vyplývající z běžného provozu (výměny zámků, prasklých skel vitrín, čidla na světlo…)</t>
  </si>
  <si>
    <t>snížením položky oprav na radnici</t>
  </si>
  <si>
    <t>většina na KL a zámku, dětská divadla v DK</t>
  </si>
  <si>
    <t>položku bychom navýšili, dlouhodobě je vodné cca 17 tis. Kč, ale snížili jsme o stočné</t>
  </si>
  <si>
    <t>schválena RM dražší firma, poměr na HČ</t>
  </si>
  <si>
    <t>**</t>
  </si>
  <si>
    <t>tržby 2014  292 261 Kč, k 30. 6. 2015 tržby 104 080 Kč, vyšší tržby se očekávají v 2. pol. Roku</t>
  </si>
  <si>
    <t>silniční daň k cestovním příkazům za jízdy zaměstnanců soukromými auty pro zaměstnavatele</t>
  </si>
  <si>
    <t>příl</t>
  </si>
  <si>
    <t>**pozn.</t>
  </si>
  <si>
    <t>Navýšení mezd v jednotlivých rozpočtech nesouvisí jen s navýšením platů zaměstnanců o vládou schválená 3%, ale i s navýšením počtu akcí a tedy i</t>
  </si>
  <si>
    <t>příplatků a odměn za jednotlivé akce. Odměny jsou důležitým stimulem při navýšení množství práce jednotlivým zaměstnancům i při jejich motivaci.</t>
  </si>
  <si>
    <t xml:space="preserve">Díky dobré práci zaměstnanců DK jsou jednotlivé kulturní akce úspěšné a tržby samotného DK ke 30. 6. jsou z loňských 994 735,33 Kč na 1 794 472,41 Kč  </t>
  </si>
  <si>
    <t xml:space="preserve">(předběžný výsledek před sestavením čerpání rozpočtu za 2. Q/2015). Bohužel u většiny zaměstnanců zůstávají mzdy krom zákonného navýšení léta na stejné </t>
  </si>
  <si>
    <t>úrovni, ať pracují sebekvalitněji.</t>
  </si>
  <si>
    <t>V souvislosti s navýšením akcí je třeba navýšit stav zaměstnanců DK o nového technika viz přiložené zdůvodnění vedoucího techniků p. Hozáka.</t>
  </si>
  <si>
    <t xml:space="preserve">V některých rozpočtech - Zámek, Stará radnice, Klášter, došlo k navýšení mezd i rozpočítáním mezd některých zaměstnanců na jednotlivé provozy, a to </t>
  </si>
  <si>
    <t>z důvodu věrného a pravdivého obrazu  účetnictví. Například ředitel, propagační, technici… pracují částečně pro všechny provozy, proto jejich mzdu</t>
  </si>
  <si>
    <t xml:space="preserve">stanoveným poměrem rozdělujeme do jednotlivých rozpočtů. </t>
  </si>
  <si>
    <t>***pozn.</t>
  </si>
  <si>
    <t>V případě vypuštění některých položek rozpočtu, je nutné přehodnotit celý rozpočet, jednotlivé položky jsou na sobě závislé. Bude-li méně akcí, nebude</t>
  </si>
  <si>
    <t>mít DK tak vysoké příjmy… atd.</t>
  </si>
  <si>
    <r>
      <t xml:space="preserve">Energie                                                       </t>
    </r>
    <r>
      <rPr>
        <i/>
        <sz val="10"/>
        <rFont val="Times New Roman CE"/>
        <family val="1"/>
      </rPr>
      <t>elektřina 203 000</t>
    </r>
  </si>
  <si>
    <t>vodné, stočné  77 000</t>
  </si>
  <si>
    <t>Poznámka</t>
  </si>
  <si>
    <t>Čerpání</t>
  </si>
  <si>
    <t>snížením položky oprav na radnici (k položce Oprava a udržování)</t>
  </si>
  <si>
    <t>Destinační management</t>
  </si>
  <si>
    <t>silniční daň k cestovním příkazům za jízdy zaměstnanců soukromými auty pro zaměstnavatele, případně za vlastní auto</t>
  </si>
  <si>
    <t>příloha č. 6</t>
  </si>
  <si>
    <t xml:space="preserve">příloha č. 19 </t>
  </si>
  <si>
    <t xml:space="preserve">příloha č. 26 </t>
  </si>
  <si>
    <t>příloha č. 21</t>
  </si>
  <si>
    <t>příloha č. 22</t>
  </si>
  <si>
    <t>příloha č. 20</t>
  </si>
  <si>
    <t>příloha č. 24</t>
  </si>
  <si>
    <t>příloha č. 23</t>
  </si>
  <si>
    <t>příloha č. 25</t>
  </si>
  <si>
    <t>**pozn. + příloha č. 1</t>
  </si>
  <si>
    <t>většina na KL a zámku, dětská divadla v DK (k položce Tržby z prodeje služeb)</t>
  </si>
  <si>
    <t>*pozn. + příloha č. 2</t>
  </si>
  <si>
    <t>schválena RM dražší firma, poměr na HČ, příloha č. 3</t>
  </si>
  <si>
    <t>příloha č. 4</t>
  </si>
  <si>
    <t>**pozn. + příloha č. 1, 5</t>
  </si>
  <si>
    <t>*pozn.+příloha č. 8</t>
  </si>
  <si>
    <t>Odpisy</t>
  </si>
  <si>
    <t>příloha 10) odpisový plán+předpokládané odpisy nového majetku (727 935 Kč+46 529 Kč Ford+30 262 Kč Sever)</t>
  </si>
  <si>
    <t>tržby 2014  292 261 Kč, k 30. 6. 2015 tržby 104 080 Kč, vyšší tržby se očekávají v 2. pol. roku</t>
  </si>
  <si>
    <t>V Ostrově dne 15. 7. 2015</t>
  </si>
  <si>
    <t>osoba pověřená řízením Domu kultury Ostrov</t>
  </si>
  <si>
    <t xml:space="preserve">                       Ilona Hálová</t>
  </si>
  <si>
    <t>Návrh rozpočtu příspěvkové organizace na rok 2017</t>
  </si>
  <si>
    <t>rozpočet 2016</t>
  </si>
  <si>
    <t xml:space="preserve">Návrh </t>
  </si>
  <si>
    <t>rozpočtu 2017</t>
  </si>
  <si>
    <t xml:space="preserve">Výsledek hospodaření DK </t>
  </si>
  <si>
    <t>Výsledek hospodaření SR</t>
  </si>
  <si>
    <t>Výsledek hospodaření KL</t>
  </si>
  <si>
    <t>VÝSLEDEK HOSPODAŘENÍ CELKEM DK</t>
  </si>
  <si>
    <t>Návrh na úpr.</t>
  </si>
  <si>
    <t>06/2016</t>
  </si>
  <si>
    <t xml:space="preserve"> </t>
  </si>
  <si>
    <t>náklady z akcí</t>
  </si>
  <si>
    <t>Dotacce KK - 48. Dětský fim.a televizní fest. O.Hof.</t>
  </si>
  <si>
    <t>Velký vánoční koncert DK a města O (2016KL)</t>
  </si>
  <si>
    <t>Studentský majáles</t>
  </si>
  <si>
    <t>Dotace KK - Studentský MAJÁLES</t>
  </si>
  <si>
    <t>Městská slavnost</t>
  </si>
  <si>
    <t>Ples města Ostrov</t>
  </si>
  <si>
    <t>Mez. Folk.fest.,Tramp.scéna</t>
  </si>
  <si>
    <t xml:space="preserve">Zámecká divadla </t>
  </si>
  <si>
    <t>Dotace KK - akce Zámecké divadlo</t>
  </si>
  <si>
    <t>RF - daň. úspora, čerpání pro rozvoj</t>
  </si>
  <si>
    <t xml:space="preserve">FO </t>
  </si>
  <si>
    <t xml:space="preserve">Ostrofcon </t>
  </si>
  <si>
    <t xml:space="preserve">TV Šlágr </t>
  </si>
  <si>
    <t>Oprávka schváleného nákupu (server)</t>
  </si>
  <si>
    <t>Schválené zapojení IF</t>
  </si>
  <si>
    <t>Schválené zapojení investičního fondu</t>
  </si>
  <si>
    <t>OM - přislíbené navýšení  dotace</t>
  </si>
  <si>
    <t>Oprávka schváleného investičního nákupu</t>
  </si>
  <si>
    <t xml:space="preserve">TV Šlágr - přislíbená  dotaci </t>
  </si>
  <si>
    <t>Ostrofcon - přislíbená dotace</t>
  </si>
  <si>
    <t>ostatní dot. + fondy</t>
  </si>
  <si>
    <t xml:space="preserve">Finančně nekryté odpisy </t>
  </si>
  <si>
    <t>Kamerový systém (použití FI)</t>
  </si>
  <si>
    <t>Odpisy kamerového systému</t>
  </si>
  <si>
    <t xml:space="preserve">navýšení tržeb na pokrytí odpisů </t>
  </si>
  <si>
    <t>Investiční příspěvek - kamerový systém</t>
  </si>
  <si>
    <r>
      <t xml:space="preserve">Energie                                                        </t>
    </r>
    <r>
      <rPr>
        <i/>
        <sz val="10"/>
        <rFont val="Times New Roman"/>
        <family val="1"/>
      </rPr>
      <t>elektřina  60 000</t>
    </r>
  </si>
  <si>
    <t>plyn  30 000</t>
  </si>
  <si>
    <t>Náklady - Historický piknik</t>
  </si>
  <si>
    <t>Náklady  - Velký vánoční koncert DK a města Ostrov</t>
  </si>
  <si>
    <t>Příspěvek na "Bach v Ostrově"</t>
  </si>
  <si>
    <t>Příspěvk na Historický piknik</t>
  </si>
  <si>
    <t>DK</t>
  </si>
  <si>
    <t>Příspěvek na Velký vánoční koncert DK a města Ostrov</t>
  </si>
  <si>
    <t xml:space="preserve">Čerpání FO </t>
  </si>
  <si>
    <t>DK - Stříbrná stezka</t>
  </si>
  <si>
    <t>Příspěvek DK - příspěvek na zámek - Stříbrná stezka</t>
  </si>
  <si>
    <t>scháleno</t>
  </si>
  <si>
    <t>po úpravě</t>
  </si>
  <si>
    <t xml:space="preserve">Příspěvek na provoz celkem </t>
  </si>
  <si>
    <t xml:space="preserve">Mzdové náklady celkem </t>
  </si>
  <si>
    <t>Publikace FOH</t>
  </si>
  <si>
    <t>navýšení o advent trhy St.nám.</t>
  </si>
  <si>
    <t>Od Zámku k zámku - Michael Pouť</t>
  </si>
  <si>
    <t>Příspěvek DK - projekt od Zámku k zámku - Mich. Pouť</t>
  </si>
  <si>
    <t>Koncerty pop, rock, metal (Regionbeat)</t>
  </si>
  <si>
    <t xml:space="preserve">Ples sportovců </t>
  </si>
  <si>
    <t>Kulturní kalendář Ostrov 2017</t>
  </si>
  <si>
    <t xml:space="preserve">Náklady hudební sezóna - klášter </t>
  </si>
  <si>
    <t>Výsledek hospodaření Zámek</t>
  </si>
  <si>
    <t>Dokumentace prostor DK</t>
  </si>
  <si>
    <t xml:space="preserve">Interaktivní informační panely před DK </t>
  </si>
  <si>
    <t xml:space="preserve">Tržby z akcí </t>
  </si>
  <si>
    <t>požadavek 2017</t>
  </si>
  <si>
    <t>přep.navýšení tarifů o 5%</t>
  </si>
  <si>
    <t>nárůst inflace o 2,2% dle prognózy ČNB</t>
  </si>
  <si>
    <t>příloha č. 1</t>
  </si>
  <si>
    <t>příloha č. 1A</t>
  </si>
  <si>
    <t>příloha č. 2</t>
  </si>
  <si>
    <t>příloha č. 3</t>
  </si>
  <si>
    <t>příl.č. 4 navýšení o adv. trhy St.nám.</t>
  </si>
  <si>
    <t>příloha č. 5</t>
  </si>
  <si>
    <t>příl.č.6, výpadek tržeb za stánky</t>
  </si>
  <si>
    <t>příloha č. 7</t>
  </si>
  <si>
    <t>příloha č. 8</t>
  </si>
  <si>
    <t>příloha č. 9</t>
  </si>
  <si>
    <t>příloha č. 10</t>
  </si>
  <si>
    <t>Hudební léto - dvojkoncert</t>
  </si>
  <si>
    <t>příloha č. 11</t>
  </si>
  <si>
    <t>příloha č. 12</t>
  </si>
  <si>
    <t>Hudební léto - koncert</t>
  </si>
  <si>
    <t>příloha č. 13</t>
  </si>
  <si>
    <t>příloha č. 14</t>
  </si>
  <si>
    <t>příloha č. 15</t>
  </si>
  <si>
    <t>příloha č. 16</t>
  </si>
  <si>
    <t>příloha č. 17</t>
  </si>
  <si>
    <t>příloha č. 18</t>
  </si>
  <si>
    <t>příloha č. 19</t>
  </si>
  <si>
    <t>příloha č. 26</t>
  </si>
  <si>
    <t>Kovářské sympozium</t>
  </si>
  <si>
    <t>příloha č. 27</t>
  </si>
  <si>
    <t>Příspěvek "Hudební léto - koncert"</t>
  </si>
  <si>
    <t>Víkend otevřených zahrad</t>
  </si>
  <si>
    <t>příloha č. 28</t>
  </si>
  <si>
    <t>Dny evropského dědictví</t>
  </si>
  <si>
    <t>příloha č. 29</t>
  </si>
  <si>
    <t>příloha č. 30</t>
  </si>
  <si>
    <t xml:space="preserve">příloha č. 31 FI ?! </t>
  </si>
  <si>
    <t>příspěvek na akce</t>
  </si>
  <si>
    <t xml:space="preserve">příspěvek na akce CELKEM </t>
  </si>
  <si>
    <t>Příspěvek "Kultura v Točně"</t>
  </si>
  <si>
    <t>Příspěvek "DFTF OH"</t>
  </si>
  <si>
    <t>Příspěvek "Tisk a roznos OM"</t>
  </si>
  <si>
    <t>Příspěvek "Rozsvěcení vánoč. Stromu"</t>
  </si>
  <si>
    <t>Příspěvek "Slavnosti na náměstí"</t>
  </si>
  <si>
    <t>Příspěvek "Michaelská pouť"</t>
  </si>
  <si>
    <t>Příspěvek "Koncerty pop, rock a metal"</t>
  </si>
  <si>
    <t>Příspěvek "Mezinárodní  folk.festival, Tramp.scéna"</t>
  </si>
  <si>
    <t>Příspěvek "Noc divadel"</t>
  </si>
  <si>
    <t>Příspěvek "Jazzová scéna"</t>
  </si>
  <si>
    <t>Příspěvek "Dětská divadla"</t>
  </si>
  <si>
    <t>Příspěvek "Studentský majáles"</t>
  </si>
  <si>
    <t>Příspěvek "Ples města Ostrov"</t>
  </si>
  <si>
    <t>Příspěvek "Ples sportovců"</t>
  </si>
  <si>
    <t>Příspěvek "Country fest.- pivní slavnosti"</t>
  </si>
  <si>
    <t>Příspěvek "Městská slavnost"</t>
  </si>
  <si>
    <t>Příspěvek "Letní kino"</t>
  </si>
  <si>
    <t>Příspěvek "Zámecká divadla"</t>
  </si>
  <si>
    <t>Příspěvek "Kulturní kalendář Ostrov"</t>
  </si>
  <si>
    <t>Příspěvek "Hudební léto - dvojkoncert"</t>
  </si>
  <si>
    <t>Příspěvek "Kovářské sympozium"</t>
  </si>
  <si>
    <t>Příspěvek "Víkend otevřených zahrad"</t>
  </si>
  <si>
    <t>Příspěvek "Dny evropského dědictví"</t>
  </si>
  <si>
    <t>Příspěvek "Dokumentace prostor DK"</t>
  </si>
  <si>
    <t>nárůst</t>
  </si>
  <si>
    <t>prům. od 2012 + navýšení 10%</t>
  </si>
  <si>
    <t>tržby</t>
  </si>
  <si>
    <t>Návrh rozpočtu příspěvkové organizace na rok 2016</t>
  </si>
  <si>
    <t>vč. nového majetku</t>
  </si>
  <si>
    <t xml:space="preserve">použití FI? </t>
  </si>
  <si>
    <t>Příspěvek "Velký vánoční koncert" (KL)</t>
  </si>
  <si>
    <t>Příspěvek na Klášterní slavnosti  (KL)</t>
  </si>
  <si>
    <t>Příspěvek "Hurá prázdniny!"</t>
  </si>
  <si>
    <r>
      <t xml:space="preserve">Energie                                                       </t>
    </r>
    <r>
      <rPr>
        <i/>
        <sz val="9"/>
        <rFont val="Times New Roman CE"/>
        <family val="1"/>
      </rPr>
      <t>elektřina 203 000</t>
    </r>
  </si>
  <si>
    <t>Rozpočet upr.</t>
  </si>
  <si>
    <t>2018</t>
  </si>
  <si>
    <t>Návrh rozpočtu příspěvkové organizace na rok 2018</t>
  </si>
  <si>
    <t>Předp.čerpání</t>
  </si>
  <si>
    <t>2017</t>
  </si>
  <si>
    <t>schváleno</t>
  </si>
  <si>
    <t xml:space="preserve">vodné, stočné </t>
  </si>
  <si>
    <t>pára a ohřev</t>
  </si>
  <si>
    <r>
      <t xml:space="preserve">Energie                                                                        </t>
    </r>
    <r>
      <rPr>
        <i/>
        <sz val="9"/>
        <rFont val="Times New Roman CE"/>
        <family val="1"/>
      </rPr>
      <t xml:space="preserve">elektřina </t>
    </r>
  </si>
  <si>
    <t>Dotace KK - akce Ostrofcon</t>
  </si>
  <si>
    <t>Dotacce MK - Dětský fim.a televizní fest. O.Hof.</t>
  </si>
  <si>
    <t>Dotacce KK - Dětský fim.a televizní fest. O.Hof.</t>
  </si>
  <si>
    <t>Dotacce KK -Dětský fim.a televizní fest. O.Hof.</t>
  </si>
  <si>
    <t>Dotace KK - OstrofCON</t>
  </si>
  <si>
    <t>plyn</t>
  </si>
  <si>
    <t>vodné, stočné</t>
  </si>
  <si>
    <r>
      <t xml:space="preserve">Energie                                                                      </t>
    </r>
    <r>
      <rPr>
        <i/>
        <sz val="10"/>
        <rFont val="Times New Roman"/>
        <family val="1"/>
      </rPr>
      <t xml:space="preserve">elektřina  </t>
    </r>
  </si>
  <si>
    <t>požadavek 2018</t>
  </si>
  <si>
    <t xml:space="preserve">Ostrovský (TV) Šlágr </t>
  </si>
  <si>
    <t>Oprávka schváleného nákupu</t>
  </si>
  <si>
    <t>Příspěvek "Destinační management"</t>
  </si>
  <si>
    <t>Příspěvek "Ostrofcon"</t>
  </si>
  <si>
    <t>Příspěvek "Ostrovský šlágr"</t>
  </si>
  <si>
    <r>
      <t xml:space="preserve">Energie                                                                      </t>
    </r>
    <r>
      <rPr>
        <i/>
        <sz val="10"/>
        <rFont val="Times New Roman CE"/>
        <family val="1"/>
      </rPr>
      <t>elektřina</t>
    </r>
  </si>
  <si>
    <t>Fondy</t>
  </si>
  <si>
    <t>Příspěvek "(Publikace FOH) Zlatý DUDEK"</t>
  </si>
  <si>
    <t>Příspěvek "Rozsvěcení vánoč. stromu"</t>
  </si>
  <si>
    <t>Příspěvek "Novoroční ohňostroj"</t>
  </si>
  <si>
    <t>Příspěvek "(Kulturní kalendář Ostrov) INCITY"</t>
  </si>
  <si>
    <t>Příspěvek "Klub EXPERIMENT"</t>
  </si>
  <si>
    <t>Příspěvek "Hudební sezóna KL"</t>
  </si>
  <si>
    <t>Příspěvek "Zážitkové prohlídky"</t>
  </si>
  <si>
    <t>Příspěvek "Historický piknik"</t>
  </si>
  <si>
    <t>Příspěvek "Velký vánoční koncert DK a města Ostrov"</t>
  </si>
  <si>
    <t>Příspěvek "Stříbrná stezka"</t>
  </si>
  <si>
    <t>Příspěvek "Pohledová zeď"</t>
  </si>
  <si>
    <t>Příspěvek "DVORANA, výstavní činnost"</t>
  </si>
  <si>
    <t xml:space="preserve">Příspěvek na akce celkem </t>
  </si>
  <si>
    <t>FOH Zlatý Dudek (Publikace FOH)</t>
  </si>
  <si>
    <t xml:space="preserve">Čerpání </t>
  </si>
  <si>
    <t>5/2017</t>
  </si>
  <si>
    <t xml:space="preserve">příloha č. 4 </t>
  </si>
  <si>
    <t xml:space="preserve">Hudební léto </t>
  </si>
  <si>
    <t>Novoroční ohňostroj</t>
  </si>
  <si>
    <t>INCITY (Kulturní kalendář Ostrov 2017)</t>
  </si>
  <si>
    <t>Klub Experiment</t>
  </si>
  <si>
    <t>Nákup drobného majetku (židle, stoly)</t>
  </si>
  <si>
    <t xml:space="preserve">inflace 2%, údržba a PHM vozu </t>
  </si>
  <si>
    <t xml:space="preserve">inflace 2% </t>
  </si>
  <si>
    <t xml:space="preserve">dle požadavku města </t>
  </si>
  <si>
    <r>
      <t xml:space="preserve">FOH - </t>
    </r>
    <r>
      <rPr>
        <b/>
        <sz val="9"/>
        <color indexed="51"/>
        <rFont val="Times New Roman CE"/>
        <family val="0"/>
      </rPr>
      <t>50tý ročník</t>
    </r>
  </si>
  <si>
    <t>dle požadavků města</t>
  </si>
  <si>
    <t>Příspěvek "Trhy a slavnosti na náměstí"</t>
  </si>
  <si>
    <t xml:space="preserve">nárůst od 1/7/17 </t>
  </si>
  <si>
    <t>upr. rozp. 2017</t>
  </si>
  <si>
    <t>upr. rozp. 2016</t>
  </si>
  <si>
    <t>čerpání 2016</t>
  </si>
  <si>
    <t>plán 75 tis.</t>
  </si>
  <si>
    <t xml:space="preserve">Náklady celkem </t>
  </si>
  <si>
    <t xml:space="preserve">Výnosy celkem </t>
  </si>
  <si>
    <t>6/2017</t>
  </si>
  <si>
    <t>Přísp. MKČR "FOH"</t>
  </si>
  <si>
    <t>Výsledek hospodaření CELKEM DK</t>
  </si>
  <si>
    <t>J.C. Fisher</t>
  </si>
  <si>
    <t>Senior Rock</t>
  </si>
  <si>
    <t>Příspěvek "Senior Rock"</t>
  </si>
  <si>
    <t>Příspěvek "J.C. Fisher"</t>
  </si>
  <si>
    <t>Schálený rozpočet příspěvkové organizace na rok 2018</t>
  </si>
  <si>
    <t>Schv.rozpočet</t>
  </si>
  <si>
    <t xml:space="preserve">CELKOVÝ PŘÍSPĚVEK OD MĚSTA </t>
  </si>
  <si>
    <t>Dům kultury Ostrov</t>
  </si>
  <si>
    <t>Hlavní budova</t>
  </si>
  <si>
    <t>Energie</t>
  </si>
  <si>
    <t>Elektrická energie</t>
  </si>
  <si>
    <t>Vodné a stočné</t>
  </si>
  <si>
    <t>Pára a ohřev</t>
  </si>
  <si>
    <t>INCITY (kulturní kalendář)</t>
  </si>
  <si>
    <t>Kulturní akce DK a na Mírovém náměstí</t>
  </si>
  <si>
    <t>Kulturní akce v Zámeckém parku</t>
  </si>
  <si>
    <t>Celkem náklady</t>
  </si>
  <si>
    <t xml:space="preserve">Výnosy  </t>
  </si>
  <si>
    <t>Plánované zapojení  investičního fondu</t>
  </si>
  <si>
    <t>Oprávka schválené investice</t>
  </si>
  <si>
    <t>Příspěvek na kulturní kalendář Ostrov</t>
  </si>
  <si>
    <t>Dotace MK na DFTF</t>
  </si>
  <si>
    <t>Publikace   FOH</t>
  </si>
  <si>
    <t>Příspěvek  KOVÁŘSKÉ    SYMPOZIUM</t>
  </si>
  <si>
    <t>Přísp. na rozsvěcení vánoč. stromu</t>
  </si>
  <si>
    <t>Přísp. na slavnosti na náměstí, Ostrovské trhy</t>
  </si>
  <si>
    <t>Příspěvek na koncerty pop, rock  a metal</t>
  </si>
  <si>
    <t>Příspěvek na Mezinárodní folkl. Festival</t>
  </si>
  <si>
    <t xml:space="preserve">Příspěvek Ostrofcon </t>
  </si>
  <si>
    <t>Příspěvek   Ples sportovců</t>
  </si>
  <si>
    <t>Příspěvek na Studenstký majáles</t>
  </si>
  <si>
    <t>Den pro Ostrov/Městské slavnosti</t>
  </si>
  <si>
    <t>Příspěvek Zámecká divadla</t>
  </si>
  <si>
    <t>Příspěvek TV Šlágr/Večer s dechovkou</t>
  </si>
  <si>
    <t xml:space="preserve">Vodné </t>
  </si>
  <si>
    <t>Plyn</t>
  </si>
  <si>
    <t>Náklady na zajiš. služeb</t>
  </si>
  <si>
    <t>Odpisy -kamerový  systém</t>
  </si>
  <si>
    <t>Kulturní akce - Klášter</t>
  </si>
  <si>
    <t>hudební sezóna-klášter</t>
  </si>
  <si>
    <t>historický piknik</t>
  </si>
  <si>
    <t>Velký vánoční koncert DK a města Ostrov</t>
  </si>
  <si>
    <t>zážitkové prohlídky</t>
  </si>
  <si>
    <t xml:space="preserve">DK- akce pohledová zeď </t>
  </si>
  <si>
    <t>DK- projekty DVORANA, výstavní činnost</t>
  </si>
  <si>
    <t>DK-příspěvek na zámek - Stříbrná stezka</t>
  </si>
  <si>
    <t xml:space="preserve">DK - akce pohledová zeď </t>
  </si>
  <si>
    <t>Schválený rozpočet 2018</t>
  </si>
  <si>
    <t xml:space="preserve">Použití RF </t>
  </si>
  <si>
    <t>Schválený rozpočet</t>
  </si>
  <si>
    <t>Upravený rozpočet</t>
  </si>
  <si>
    <t>1.Q</t>
  </si>
  <si>
    <t xml:space="preserve">Plnění rozpočtu </t>
  </si>
  <si>
    <t>%</t>
  </si>
  <si>
    <t>upra. 2018</t>
  </si>
  <si>
    <t>plnění</t>
  </si>
  <si>
    <t>DK - Klášter</t>
  </si>
  <si>
    <t>DK - Zámek</t>
  </si>
  <si>
    <t>DK- Stříbrná stezka</t>
  </si>
  <si>
    <t xml:space="preserve">Příspěvek zřizovatele celkem </t>
  </si>
  <si>
    <t xml:space="preserve">Použití fondů </t>
  </si>
  <si>
    <t xml:space="preserve">Dotace KK - FOH </t>
  </si>
  <si>
    <t>Návrh na navýšení provozního příspěvku na nákup materiálu DDHM</t>
  </si>
  <si>
    <t xml:space="preserve">Dotace MK - FOH </t>
  </si>
  <si>
    <t>Použití RF</t>
  </si>
  <si>
    <t>Zážitkové prohlídky</t>
  </si>
  <si>
    <t xml:space="preserve">Hudební sezóna - klášter </t>
  </si>
  <si>
    <t>Historický piknik</t>
  </si>
  <si>
    <t>Pohledová zeď</t>
  </si>
  <si>
    <t>Stříbrná stezka</t>
  </si>
  <si>
    <t>Projekty DVORANA, výstavní činnost</t>
  </si>
  <si>
    <t>Schválený rozpočet příspěvkové organizace na rok 2018</t>
  </si>
  <si>
    <t xml:space="preserve">Použití RF materiál </t>
  </si>
  <si>
    <t>Použití RF služby</t>
  </si>
  <si>
    <t>5/2018</t>
  </si>
  <si>
    <t>Rerervní fond</t>
  </si>
  <si>
    <t xml:space="preserve">Fond odměn </t>
  </si>
  <si>
    <t>Čerpání             1. pol. 2018</t>
  </si>
  <si>
    <t>Použití fondů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</si>
</sst>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_ ;[Red]\-#,##0\ "/>
    <numFmt numFmtId="169" formatCode="0.0%"/>
    <numFmt numFmtId="170" formatCode="#,##0\ _K_č"/>
  </numFmts>
  <fonts count="142">
    <font>
      <sz val="10"/>
      <name val="Arial CE"/>
      <family val="2"/>
    </font>
    <font>
      <sz val="10"/>
      <name val="Arial"/>
      <family val="0"/>
    </font>
    <font>
      <b/>
      <sz val="16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b/>
      <sz val="10"/>
      <color indexed="10"/>
      <name val="Times New Roman CE"/>
      <family val="1"/>
    </font>
    <font>
      <b/>
      <sz val="10"/>
      <name val="Times New Roman CE"/>
      <family val="1"/>
    </font>
    <font>
      <b/>
      <i/>
      <sz val="10"/>
      <color indexed="12"/>
      <name val="Times New Roman CE"/>
      <family val="1"/>
    </font>
    <font>
      <sz val="11"/>
      <name val="Arial CE"/>
      <family val="2"/>
    </font>
    <font>
      <sz val="11"/>
      <name val="Times New Roman CE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b/>
      <u val="single"/>
      <sz val="16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0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0"/>
      <name val="Times New Roman"/>
      <family val="1"/>
    </font>
    <font>
      <i/>
      <sz val="8"/>
      <name val="Times New Roman CE"/>
      <family val="0"/>
    </font>
    <font>
      <i/>
      <sz val="10"/>
      <name val="Arial CE"/>
      <family val="2"/>
    </font>
    <font>
      <b/>
      <i/>
      <sz val="8"/>
      <name val="Times New Roman"/>
      <family val="1"/>
    </font>
    <font>
      <b/>
      <i/>
      <sz val="8"/>
      <name val="Times New Roman CE"/>
      <family val="1"/>
    </font>
    <font>
      <sz val="8"/>
      <name val="Times New Roman CE"/>
      <family val="1"/>
    </font>
    <font>
      <sz val="7"/>
      <name val="Arial CE"/>
      <family val="2"/>
    </font>
    <font>
      <sz val="7"/>
      <name val="Times New Roman"/>
      <family val="1"/>
    </font>
    <font>
      <sz val="7"/>
      <name val="Times New Roman CE"/>
      <family val="0"/>
    </font>
    <font>
      <b/>
      <sz val="11"/>
      <name val="Times New Roman"/>
      <family val="1"/>
    </font>
    <font>
      <sz val="9"/>
      <name val="Arial CE"/>
      <family val="2"/>
    </font>
    <font>
      <sz val="8"/>
      <name val="Arial"/>
      <family val="2"/>
    </font>
    <font>
      <sz val="9"/>
      <name val="Times New Roman CE"/>
      <family val="1"/>
    </font>
    <font>
      <b/>
      <i/>
      <sz val="9"/>
      <name val="Times New Roman CE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E"/>
      <family val="0"/>
    </font>
    <font>
      <i/>
      <sz val="9"/>
      <name val="Times New Roman CE"/>
      <family val="1"/>
    </font>
    <font>
      <b/>
      <sz val="9"/>
      <color indexed="51"/>
      <name val="Times New Roman CE"/>
      <family val="0"/>
    </font>
    <font>
      <b/>
      <sz val="8"/>
      <name val="Times New Roman"/>
      <family val="1"/>
    </font>
    <font>
      <b/>
      <sz val="10"/>
      <name val="Arial CE"/>
      <family val="2"/>
    </font>
    <font>
      <b/>
      <u val="single"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E"/>
      <family val="1"/>
    </font>
    <font>
      <b/>
      <sz val="10"/>
      <color indexed="10"/>
      <name val="Times New Roman"/>
      <family val="1"/>
    </font>
    <font>
      <sz val="10"/>
      <color indexed="36"/>
      <name val="Times New Roman CE"/>
      <family val="0"/>
    </font>
    <font>
      <sz val="10"/>
      <color indexed="36"/>
      <name val="Times New Roman"/>
      <family val="1"/>
    </font>
    <font>
      <b/>
      <i/>
      <sz val="10"/>
      <color indexed="36"/>
      <name val="Times New Roman CE"/>
      <family val="1"/>
    </font>
    <font>
      <b/>
      <sz val="10"/>
      <color indexed="62"/>
      <name val="Times New Roman"/>
      <family val="1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color indexed="36"/>
      <name val="Times New Roman CE"/>
      <family val="0"/>
    </font>
    <font>
      <b/>
      <sz val="9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 CE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 CE"/>
      <family val="0"/>
    </font>
    <font>
      <sz val="10"/>
      <color indexed="8"/>
      <name val="Times New Roman CE"/>
      <family val="0"/>
    </font>
    <font>
      <b/>
      <i/>
      <sz val="10"/>
      <color indexed="10"/>
      <name val="Times New Roman CE"/>
      <family val="1"/>
    </font>
    <font>
      <b/>
      <sz val="9"/>
      <color indexed="10"/>
      <name val="Times New Roman CE"/>
      <family val="0"/>
    </font>
    <font>
      <sz val="9"/>
      <color indexed="10"/>
      <name val="Times New Roman CE"/>
      <family val="0"/>
    </font>
    <font>
      <b/>
      <i/>
      <sz val="9"/>
      <color indexed="10"/>
      <name val="Times New Roman CE"/>
      <family val="0"/>
    </font>
    <font>
      <b/>
      <i/>
      <sz val="10"/>
      <color indexed="10"/>
      <name val="Times New Roman"/>
      <family val="1"/>
    </font>
    <font>
      <b/>
      <i/>
      <sz val="9"/>
      <color indexed="36"/>
      <name val="Times New Roman CE"/>
      <family val="1"/>
    </font>
    <font>
      <b/>
      <i/>
      <sz val="10"/>
      <color indexed="3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E"/>
      <family val="1"/>
    </font>
    <font>
      <b/>
      <sz val="10"/>
      <color rgb="FFFF0000"/>
      <name val="Times New Roman"/>
      <family val="1"/>
    </font>
    <font>
      <sz val="10"/>
      <color rgb="FF7030A0"/>
      <name val="Times New Roman CE"/>
      <family val="0"/>
    </font>
    <font>
      <sz val="10"/>
      <color rgb="FF7030A0"/>
      <name val="Times New Roman"/>
      <family val="1"/>
    </font>
    <font>
      <b/>
      <i/>
      <sz val="10"/>
      <color rgb="FF7030A0"/>
      <name val="Times New Roman CE"/>
      <family val="1"/>
    </font>
    <font>
      <b/>
      <sz val="10"/>
      <color theme="3" tint="0.39998000860214233"/>
      <name val="Times New Roman"/>
      <family val="1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7030A0"/>
      <name val="Times New Roman CE"/>
      <family val="0"/>
    </font>
    <font>
      <b/>
      <sz val="9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 CE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 CE"/>
      <family val="0"/>
    </font>
    <font>
      <sz val="10"/>
      <color theme="1"/>
      <name val="Times New Roman CE"/>
      <family val="0"/>
    </font>
    <font>
      <b/>
      <i/>
      <sz val="10"/>
      <color rgb="FFFF0000"/>
      <name val="Times New Roman CE"/>
      <family val="1"/>
    </font>
    <font>
      <b/>
      <sz val="9"/>
      <color rgb="FFFF0000"/>
      <name val="Times New Roman CE"/>
      <family val="0"/>
    </font>
    <font>
      <b/>
      <sz val="10"/>
      <color rgb="FFFF0000"/>
      <name val="Times New Roman CE"/>
      <family val="0"/>
    </font>
    <font>
      <sz val="9"/>
      <color rgb="FFFF0000"/>
      <name val="Times New Roman CE"/>
      <family val="0"/>
    </font>
    <font>
      <b/>
      <i/>
      <sz val="9"/>
      <color rgb="FFFF0000"/>
      <name val="Times New Roman CE"/>
      <family val="0"/>
    </font>
    <font>
      <b/>
      <i/>
      <sz val="10"/>
      <color rgb="FFFF0000"/>
      <name val="Times New Roman"/>
      <family val="1"/>
    </font>
    <font>
      <b/>
      <i/>
      <sz val="9"/>
      <color rgb="FF7030A0"/>
      <name val="Times New Roman CE"/>
      <family val="1"/>
    </font>
    <font>
      <b/>
      <i/>
      <sz val="10"/>
      <color rgb="FF7030A0"/>
      <name val="Times New Roman"/>
      <family val="1"/>
    </font>
    <font>
      <b/>
      <sz val="12"/>
      <color rgb="FFFF0000"/>
      <name val="Times New Roman CE"/>
      <family val="1"/>
    </font>
    <font>
      <b/>
      <sz val="12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</fills>
  <borders count="1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thin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100" fillId="20" borderId="0" applyNumberFormat="0" applyBorder="0" applyAlignment="0" applyProtection="0"/>
    <xf numFmtId="0" fontId="10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107" fillId="0" borderId="7" applyNumberFormat="0" applyFill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8" applyNumberFormat="0" applyAlignment="0" applyProtection="0"/>
    <xf numFmtId="0" fontId="111" fillId="26" borderId="8" applyNumberFormat="0" applyAlignment="0" applyProtection="0"/>
    <xf numFmtId="0" fontId="112" fillId="26" borderId="9" applyNumberFormat="0" applyAlignment="0" applyProtection="0"/>
    <xf numFmtId="0" fontId="113" fillId="0" borderId="0" applyNumberFormat="0" applyFill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</cellStyleXfs>
  <cellXfs count="88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4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0" fontId="23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33" borderId="13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4" fillId="0" borderId="0" xfId="0" applyFont="1" applyAlignment="1">
      <alignment/>
    </xf>
    <xf numFmtId="3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13" xfId="0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1" fillId="0" borderId="32" xfId="0" applyNumberFormat="1" applyFont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 horizontal="center"/>
    </xf>
    <xf numFmtId="0" fontId="11" fillId="0" borderId="35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3" fillId="0" borderId="30" xfId="0" applyNumberFormat="1" applyFont="1" applyFill="1" applyBorder="1" applyAlignment="1">
      <alignment horizontal="center"/>
    </xf>
    <xf numFmtId="3" fontId="13" fillId="0" borderId="36" xfId="0" applyNumberFormat="1" applyFont="1" applyFill="1" applyBorder="1" applyAlignment="1">
      <alignment horizontal="center"/>
    </xf>
    <xf numFmtId="3" fontId="13" fillId="33" borderId="37" xfId="0" applyNumberFormat="1" applyFont="1" applyFill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 horizontal="left"/>
    </xf>
    <xf numFmtId="3" fontId="4" fillId="0" borderId="41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13" fillId="0" borderId="34" xfId="0" applyNumberFormat="1" applyFont="1" applyFill="1" applyBorder="1" applyAlignment="1">
      <alignment horizontal="center"/>
    </xf>
    <xf numFmtId="3" fontId="13" fillId="0" borderId="33" xfId="0" applyNumberFormat="1" applyFont="1" applyFill="1" applyBorder="1" applyAlignment="1">
      <alignment horizontal="center"/>
    </xf>
    <xf numFmtId="0" fontId="3" fillId="0" borderId="43" xfId="0" applyFont="1" applyBorder="1" applyAlignment="1">
      <alignment/>
    </xf>
    <xf numFmtId="3" fontId="11" fillId="0" borderId="44" xfId="0" applyNumberFormat="1" applyFont="1" applyBorder="1" applyAlignment="1">
      <alignment horizontal="center"/>
    </xf>
    <xf numFmtId="0" fontId="4" fillId="0" borderId="43" xfId="0" applyFont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0" fontId="7" fillId="34" borderId="39" xfId="0" applyFont="1" applyFill="1" applyBorder="1" applyAlignment="1">
      <alignment/>
    </xf>
    <xf numFmtId="0" fontId="18" fillId="0" borderId="45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4" fillId="0" borderId="39" xfId="0" applyFont="1" applyBorder="1" applyAlignment="1">
      <alignment/>
    </xf>
    <xf numFmtId="3" fontId="4" fillId="0" borderId="46" xfId="0" applyNumberFormat="1" applyFont="1" applyBorder="1" applyAlignment="1">
      <alignment horizontal="center"/>
    </xf>
    <xf numFmtId="0" fontId="10" fillId="0" borderId="39" xfId="0" applyFont="1" applyFill="1" applyBorder="1" applyAlignment="1">
      <alignment/>
    </xf>
    <xf numFmtId="0" fontId="7" fillId="35" borderId="4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3" fillId="0" borderId="38" xfId="0" applyFont="1" applyBorder="1" applyAlignment="1">
      <alignment/>
    </xf>
    <xf numFmtId="0" fontId="4" fillId="0" borderId="38" xfId="0" applyFont="1" applyBorder="1" applyAlignment="1">
      <alignment/>
    </xf>
    <xf numFmtId="3" fontId="13" fillId="0" borderId="47" xfId="0" applyNumberFormat="1" applyFont="1" applyBorder="1" applyAlignment="1">
      <alignment horizontal="center"/>
    </xf>
    <xf numFmtId="3" fontId="13" fillId="0" borderId="48" xfId="0" applyNumberFormat="1" applyFont="1" applyFill="1" applyBorder="1" applyAlignment="1">
      <alignment horizontal="center"/>
    </xf>
    <xf numFmtId="3" fontId="13" fillId="0" borderId="49" xfId="0" applyNumberFormat="1" applyFont="1" applyBorder="1" applyAlignment="1">
      <alignment horizontal="center"/>
    </xf>
    <xf numFmtId="3" fontId="13" fillId="35" borderId="49" xfId="0" applyNumberFormat="1" applyFont="1" applyFill="1" applyBorder="1" applyAlignment="1">
      <alignment horizontal="center"/>
    </xf>
    <xf numFmtId="3" fontId="13" fillId="36" borderId="49" xfId="0" applyNumberFormat="1" applyFont="1" applyFill="1" applyBorder="1" applyAlignment="1">
      <alignment horizontal="center"/>
    </xf>
    <xf numFmtId="3" fontId="13" fillId="36" borderId="48" xfId="0" applyNumberFormat="1" applyFont="1" applyFill="1" applyBorder="1" applyAlignment="1">
      <alignment horizontal="center"/>
    </xf>
    <xf numFmtId="3" fontId="13" fillId="35" borderId="48" xfId="0" applyNumberFormat="1" applyFont="1" applyFill="1" applyBorder="1" applyAlignment="1">
      <alignment horizontal="center"/>
    </xf>
    <xf numFmtId="3" fontId="13" fillId="37" borderId="48" xfId="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/>
    </xf>
    <xf numFmtId="0" fontId="7" fillId="33" borderId="51" xfId="0" applyFont="1" applyFill="1" applyBorder="1" applyAlignment="1">
      <alignment/>
    </xf>
    <xf numFmtId="0" fontId="7" fillId="37" borderId="40" xfId="0" applyFont="1" applyFill="1" applyBorder="1" applyAlignment="1">
      <alignment horizontal="left"/>
    </xf>
    <xf numFmtId="0" fontId="16" fillId="35" borderId="52" xfId="0" applyFont="1" applyFill="1" applyBorder="1" applyAlignment="1">
      <alignment/>
    </xf>
    <xf numFmtId="3" fontId="11" fillId="35" borderId="4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3" fontId="16" fillId="0" borderId="17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3" fontId="16" fillId="0" borderId="46" xfId="0" applyNumberFormat="1" applyFont="1" applyBorder="1" applyAlignment="1">
      <alignment horizontal="center"/>
    </xf>
    <xf numFmtId="3" fontId="25" fillId="0" borderId="0" xfId="0" applyNumberFormat="1" applyFont="1" applyAlignment="1">
      <alignment/>
    </xf>
    <xf numFmtId="3" fontId="16" fillId="0" borderId="17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9" fillId="37" borderId="4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3" fillId="0" borderId="53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3" fontId="13" fillId="0" borderId="32" xfId="0" applyNumberFormat="1" applyFont="1" applyFill="1" applyBorder="1" applyAlignment="1">
      <alignment horizontal="center"/>
    </xf>
    <xf numFmtId="0" fontId="4" fillId="0" borderId="40" xfId="0" applyFont="1" applyBorder="1" applyAlignment="1">
      <alignment/>
    </xf>
    <xf numFmtId="3" fontId="16" fillId="0" borderId="54" xfId="0" applyNumberFormat="1" applyFont="1" applyBorder="1" applyAlignment="1">
      <alignment horizontal="center"/>
    </xf>
    <xf numFmtId="3" fontId="11" fillId="0" borderId="47" xfId="0" applyNumberFormat="1" applyFont="1" applyBorder="1" applyAlignment="1">
      <alignment horizontal="center"/>
    </xf>
    <xf numFmtId="3" fontId="11" fillId="33" borderId="55" xfId="0" applyNumberFormat="1" applyFont="1" applyFill="1" applyBorder="1" applyAlignment="1">
      <alignment horizontal="center"/>
    </xf>
    <xf numFmtId="0" fontId="16" fillId="33" borderId="43" xfId="0" applyFont="1" applyFill="1" applyBorder="1" applyAlignment="1">
      <alignment/>
    </xf>
    <xf numFmtId="3" fontId="13" fillId="38" borderId="48" xfId="0" applyNumberFormat="1" applyFont="1" applyFill="1" applyBorder="1" applyAlignment="1">
      <alignment horizontal="center"/>
    </xf>
    <xf numFmtId="3" fontId="11" fillId="39" borderId="56" xfId="0" applyNumberFormat="1" applyFont="1" applyFill="1" applyBorder="1" applyAlignment="1">
      <alignment horizontal="center"/>
    </xf>
    <xf numFmtId="3" fontId="11" fillId="39" borderId="41" xfId="0" applyNumberFormat="1" applyFont="1" applyFill="1" applyBorder="1" applyAlignment="1">
      <alignment horizontal="center"/>
    </xf>
    <xf numFmtId="0" fontId="16" fillId="39" borderId="57" xfId="0" applyFont="1" applyFill="1" applyBorder="1" applyAlignment="1">
      <alignment/>
    </xf>
    <xf numFmtId="0" fontId="16" fillId="39" borderId="52" xfId="0" applyFont="1" applyFill="1" applyBorder="1" applyAlignment="1">
      <alignment/>
    </xf>
    <xf numFmtId="3" fontId="11" fillId="0" borderId="35" xfId="0" applyNumberFormat="1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58" xfId="0" applyFont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3" fontId="11" fillId="40" borderId="36" xfId="0" applyNumberFormat="1" applyFont="1" applyFill="1" applyBorder="1" applyAlignment="1">
      <alignment horizontal="center"/>
    </xf>
    <xf numFmtId="3" fontId="11" fillId="40" borderId="61" xfId="0" applyNumberFormat="1" applyFont="1" applyFill="1" applyBorder="1" applyAlignment="1">
      <alignment horizontal="center"/>
    </xf>
    <xf numFmtId="0" fontId="7" fillId="0" borderId="62" xfId="0" applyFont="1" applyBorder="1" applyAlignment="1">
      <alignment horizontal="left"/>
    </xf>
    <xf numFmtId="0" fontId="16" fillId="0" borderId="50" xfId="0" applyFont="1" applyBorder="1" applyAlignment="1">
      <alignment/>
    </xf>
    <xf numFmtId="0" fontId="16" fillId="40" borderId="52" xfId="0" applyFont="1" applyFill="1" applyBorder="1" applyAlignment="1">
      <alignment/>
    </xf>
    <xf numFmtId="0" fontId="16" fillId="40" borderId="51" xfId="0" applyFont="1" applyFill="1" applyBorder="1" applyAlignment="1">
      <alignment/>
    </xf>
    <xf numFmtId="3" fontId="16" fillId="0" borderId="20" xfId="0" applyNumberFormat="1" applyFont="1" applyBorder="1" applyAlignment="1">
      <alignment horizontal="center"/>
    </xf>
    <xf numFmtId="0" fontId="30" fillId="0" borderId="45" xfId="0" applyFont="1" applyBorder="1" applyAlignment="1">
      <alignment horizontal="right"/>
    </xf>
    <xf numFmtId="0" fontId="31" fillId="0" borderId="45" xfId="0" applyFont="1" applyBorder="1" applyAlignment="1">
      <alignment horizontal="right"/>
    </xf>
    <xf numFmtId="9" fontId="0" fillId="0" borderId="0" xfId="0" applyNumberFormat="1" applyBorder="1" applyAlignment="1">
      <alignment/>
    </xf>
    <xf numFmtId="0" fontId="3" fillId="0" borderId="40" xfId="0" applyFont="1" applyFill="1" applyBorder="1" applyAlignment="1">
      <alignment/>
    </xf>
    <xf numFmtId="3" fontId="13" fillId="41" borderId="0" xfId="0" applyNumberFormat="1" applyFont="1" applyFill="1" applyBorder="1" applyAlignment="1">
      <alignment horizontal="center"/>
    </xf>
    <xf numFmtId="0" fontId="7" fillId="41" borderId="58" xfId="0" applyFont="1" applyFill="1" applyBorder="1" applyAlignment="1">
      <alignment horizontal="left"/>
    </xf>
    <xf numFmtId="3" fontId="13" fillId="41" borderId="63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6" fillId="0" borderId="64" xfId="0" applyNumberFormat="1" applyFont="1" applyBorder="1" applyAlignment="1">
      <alignment horizontal="center"/>
    </xf>
    <xf numFmtId="3" fontId="11" fillId="40" borderId="65" xfId="0" applyNumberFormat="1" applyFont="1" applyFill="1" applyBorder="1" applyAlignment="1">
      <alignment horizontal="center"/>
    </xf>
    <xf numFmtId="3" fontId="11" fillId="0" borderId="66" xfId="0" applyNumberFormat="1" applyFont="1" applyBorder="1" applyAlignment="1">
      <alignment horizontal="center"/>
    </xf>
    <xf numFmtId="0" fontId="11" fillId="0" borderId="67" xfId="0" applyFont="1" applyBorder="1" applyAlignment="1">
      <alignment horizontal="right"/>
    </xf>
    <xf numFmtId="0" fontId="4" fillId="0" borderId="45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13" fillId="0" borderId="68" xfId="0" applyFont="1" applyBorder="1" applyAlignment="1">
      <alignment horizontal="right"/>
    </xf>
    <xf numFmtId="3" fontId="13" fillId="0" borderId="69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3" fontId="16" fillId="0" borderId="41" xfId="0" applyNumberFormat="1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3" fontId="13" fillId="0" borderId="48" xfId="0" applyNumberFormat="1" applyFont="1" applyBorder="1" applyAlignment="1">
      <alignment horizontal="center"/>
    </xf>
    <xf numFmtId="0" fontId="3" fillId="0" borderId="52" xfId="0" applyFont="1" applyFill="1" applyBorder="1" applyAlignment="1">
      <alignment/>
    </xf>
    <xf numFmtId="0" fontId="13" fillId="0" borderId="67" xfId="0" applyFont="1" applyFill="1" applyBorder="1" applyAlignment="1">
      <alignment horizontal="right"/>
    </xf>
    <xf numFmtId="3" fontId="16" fillId="0" borderId="56" xfId="0" applyNumberFormat="1" applyFont="1" applyBorder="1" applyAlignment="1">
      <alignment horizontal="center"/>
    </xf>
    <xf numFmtId="3" fontId="16" fillId="0" borderId="71" xfId="0" applyNumberFormat="1" applyFont="1" applyBorder="1" applyAlignment="1">
      <alignment horizontal="center"/>
    </xf>
    <xf numFmtId="3" fontId="11" fillId="0" borderId="72" xfId="0" applyNumberFormat="1" applyFont="1" applyBorder="1" applyAlignment="1">
      <alignment horizontal="center"/>
    </xf>
    <xf numFmtId="3" fontId="13" fillId="0" borderId="73" xfId="0" applyNumberFormat="1" applyFont="1" applyBorder="1" applyAlignment="1">
      <alignment horizontal="center"/>
    </xf>
    <xf numFmtId="3" fontId="13" fillId="0" borderId="74" xfId="0" applyNumberFormat="1" applyFont="1" applyBorder="1" applyAlignment="1">
      <alignment horizontal="center"/>
    </xf>
    <xf numFmtId="3" fontId="13" fillId="0" borderId="75" xfId="0" applyNumberFormat="1" applyFont="1" applyBorder="1" applyAlignment="1">
      <alignment horizontal="center"/>
    </xf>
    <xf numFmtId="3" fontId="13" fillId="0" borderId="76" xfId="0" applyNumberFormat="1" applyFont="1" applyBorder="1" applyAlignment="1">
      <alignment horizontal="center"/>
    </xf>
    <xf numFmtId="3" fontId="13" fillId="0" borderId="76" xfId="0" applyNumberFormat="1" applyFont="1" applyFill="1" applyBorder="1" applyAlignment="1">
      <alignment horizontal="center"/>
    </xf>
    <xf numFmtId="3" fontId="13" fillId="0" borderId="77" xfId="0" applyNumberFormat="1" applyFont="1" applyFill="1" applyBorder="1" applyAlignment="1">
      <alignment horizontal="center"/>
    </xf>
    <xf numFmtId="3" fontId="13" fillId="0" borderId="74" xfId="0" applyNumberFormat="1" applyFont="1" applyFill="1" applyBorder="1" applyAlignment="1">
      <alignment horizontal="center"/>
    </xf>
    <xf numFmtId="3" fontId="13" fillId="0" borderId="78" xfId="0" applyNumberFormat="1" applyFont="1" applyBorder="1" applyAlignment="1">
      <alignment horizontal="right"/>
    </xf>
    <xf numFmtId="3" fontId="4" fillId="0" borderId="61" xfId="0" applyNumberFormat="1" applyFont="1" applyBorder="1" applyAlignment="1">
      <alignment horizontal="center"/>
    </xf>
    <xf numFmtId="3" fontId="13" fillId="0" borderId="79" xfId="0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3" fontId="114" fillId="0" borderId="17" xfId="0" applyNumberFormat="1" applyFont="1" applyBorder="1" applyAlignment="1">
      <alignment horizontal="center"/>
    </xf>
    <xf numFmtId="3" fontId="114" fillId="0" borderId="20" xfId="0" applyNumberFormat="1" applyFont="1" applyBorder="1" applyAlignment="1">
      <alignment horizontal="center"/>
    </xf>
    <xf numFmtId="3" fontId="114" fillId="0" borderId="18" xfId="0" applyNumberFormat="1" applyFont="1" applyBorder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4" fillId="0" borderId="52" xfId="0" applyFont="1" applyBorder="1" applyAlignment="1">
      <alignment/>
    </xf>
    <xf numFmtId="3" fontId="4" fillId="0" borderId="80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  <xf numFmtId="3" fontId="11" fillId="0" borderId="81" xfId="0" applyNumberFormat="1" applyFont="1" applyBorder="1" applyAlignment="1">
      <alignment horizontal="center"/>
    </xf>
    <xf numFmtId="3" fontId="11" fillId="0" borderId="75" xfId="0" applyNumberFormat="1" applyFont="1" applyBorder="1" applyAlignment="1">
      <alignment horizontal="center"/>
    </xf>
    <xf numFmtId="3" fontId="11" fillId="0" borderId="77" xfId="0" applyNumberFormat="1" applyFont="1" applyBorder="1" applyAlignment="1">
      <alignment horizontal="center"/>
    </xf>
    <xf numFmtId="3" fontId="11" fillId="0" borderId="74" xfId="0" applyNumberFormat="1" applyFont="1" applyBorder="1" applyAlignment="1">
      <alignment horizontal="center"/>
    </xf>
    <xf numFmtId="3" fontId="11" fillId="0" borderId="82" xfId="0" applyNumberFormat="1" applyFont="1" applyBorder="1" applyAlignment="1">
      <alignment horizontal="center"/>
    </xf>
    <xf numFmtId="3" fontId="11" fillId="0" borderId="77" xfId="0" applyNumberFormat="1" applyFont="1" applyFill="1" applyBorder="1" applyAlignment="1">
      <alignment horizontal="center"/>
    </xf>
    <xf numFmtId="3" fontId="11" fillId="0" borderId="83" xfId="0" applyNumberFormat="1" applyFont="1" applyFill="1" applyBorder="1" applyAlignment="1">
      <alignment horizontal="center"/>
    </xf>
    <xf numFmtId="3" fontId="11" fillId="40" borderId="41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/>
    </xf>
    <xf numFmtId="0" fontId="3" fillId="42" borderId="42" xfId="0" applyFont="1" applyFill="1" applyBorder="1" applyAlignment="1">
      <alignment horizontal="center"/>
    </xf>
    <xf numFmtId="0" fontId="3" fillId="42" borderId="23" xfId="0" applyFont="1" applyFill="1" applyBorder="1" applyAlignment="1">
      <alignment horizontal="center"/>
    </xf>
    <xf numFmtId="3" fontId="3" fillId="0" borderId="84" xfId="0" applyNumberFormat="1" applyFont="1" applyBorder="1" applyAlignment="1">
      <alignment horizontal="center"/>
    </xf>
    <xf numFmtId="3" fontId="115" fillId="0" borderId="85" xfId="0" applyNumberFormat="1" applyFont="1" applyBorder="1" applyAlignment="1">
      <alignment horizontal="center"/>
    </xf>
    <xf numFmtId="3" fontId="3" fillId="0" borderId="85" xfId="0" applyNumberFormat="1" applyFont="1" applyBorder="1" applyAlignment="1">
      <alignment horizontal="center"/>
    </xf>
    <xf numFmtId="3" fontId="3" fillId="0" borderId="86" xfId="0" applyNumberFormat="1" applyFont="1" applyBorder="1" applyAlignment="1">
      <alignment horizontal="center"/>
    </xf>
    <xf numFmtId="3" fontId="115" fillId="41" borderId="87" xfId="0" applyNumberFormat="1" applyFont="1" applyFill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3" fontId="3" fillId="0" borderId="88" xfId="0" applyNumberFormat="1" applyFont="1" applyBorder="1" applyAlignment="1">
      <alignment horizontal="center"/>
    </xf>
    <xf numFmtId="3" fontId="115" fillId="0" borderId="89" xfId="0" applyNumberFormat="1" applyFont="1" applyBorder="1" applyAlignment="1">
      <alignment horizontal="center"/>
    </xf>
    <xf numFmtId="3" fontId="4" fillId="0" borderId="84" xfId="0" applyNumberFormat="1" applyFont="1" applyBorder="1" applyAlignment="1">
      <alignment horizontal="center"/>
    </xf>
    <xf numFmtId="3" fontId="4" fillId="0" borderId="85" xfId="0" applyNumberFormat="1" applyFont="1" applyBorder="1" applyAlignment="1">
      <alignment horizontal="center"/>
    </xf>
    <xf numFmtId="3" fontId="4" fillId="0" borderId="90" xfId="0" applyNumberFormat="1" applyFont="1" applyBorder="1" applyAlignment="1">
      <alignment horizontal="center"/>
    </xf>
    <xf numFmtId="3" fontId="4" fillId="0" borderId="88" xfId="0" applyNumberFormat="1" applyFont="1" applyBorder="1" applyAlignment="1">
      <alignment horizontal="center"/>
    </xf>
    <xf numFmtId="3" fontId="4" fillId="0" borderId="91" xfId="0" applyNumberFormat="1" applyFont="1" applyBorder="1" applyAlignment="1">
      <alignment horizontal="center"/>
    </xf>
    <xf numFmtId="3" fontId="4" fillId="0" borderId="92" xfId="0" applyNumberFormat="1" applyFont="1" applyBorder="1" applyAlignment="1">
      <alignment horizontal="center"/>
    </xf>
    <xf numFmtId="3" fontId="4" fillId="0" borderId="93" xfId="0" applyNumberFormat="1" applyFont="1" applyBorder="1" applyAlignment="1">
      <alignment horizontal="center"/>
    </xf>
    <xf numFmtId="3" fontId="114" fillId="0" borderId="89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4" fillId="0" borderId="94" xfId="0" applyNumberFormat="1" applyFont="1" applyBorder="1" applyAlignment="1">
      <alignment horizontal="center"/>
    </xf>
    <xf numFmtId="3" fontId="4" fillId="0" borderId="95" xfId="0" applyNumberFormat="1" applyFont="1" applyBorder="1" applyAlignment="1">
      <alignment horizontal="center"/>
    </xf>
    <xf numFmtId="3" fontId="11" fillId="0" borderId="86" xfId="0" applyNumberFormat="1" applyFont="1" applyBorder="1" applyAlignment="1">
      <alignment horizontal="center"/>
    </xf>
    <xf numFmtId="3" fontId="114" fillId="0" borderId="94" xfId="0" applyNumberFormat="1" applyFont="1" applyBorder="1" applyAlignment="1">
      <alignment horizontal="center"/>
    </xf>
    <xf numFmtId="3" fontId="3" fillId="0" borderId="90" xfId="0" applyNumberFormat="1" applyFont="1" applyBorder="1" applyAlignment="1">
      <alignment horizontal="center"/>
    </xf>
    <xf numFmtId="3" fontId="16" fillId="0" borderId="61" xfId="0" applyNumberFormat="1" applyFont="1" applyBorder="1" applyAlignment="1">
      <alignment horizontal="center"/>
    </xf>
    <xf numFmtId="3" fontId="16" fillId="0" borderId="65" xfId="0" applyNumberFormat="1" applyFont="1" applyBorder="1" applyAlignment="1">
      <alignment horizontal="center"/>
    </xf>
    <xf numFmtId="0" fontId="116" fillId="0" borderId="0" xfId="0" applyFont="1" applyFill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41" borderId="22" xfId="0" applyNumberFormat="1" applyFont="1" applyFill="1" applyBorder="1" applyAlignment="1">
      <alignment horizontal="center"/>
    </xf>
    <xf numFmtId="3" fontId="4" fillId="0" borderId="96" xfId="0" applyNumberFormat="1" applyFont="1" applyBorder="1" applyAlignment="1">
      <alignment horizontal="center"/>
    </xf>
    <xf numFmtId="0" fontId="16" fillId="39" borderId="51" xfId="0" applyFont="1" applyFill="1" applyBorder="1" applyAlignment="1">
      <alignment/>
    </xf>
    <xf numFmtId="3" fontId="11" fillId="39" borderId="97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3" fontId="13" fillId="0" borderId="82" xfId="0" applyNumberFormat="1" applyFont="1" applyFill="1" applyBorder="1" applyAlignment="1">
      <alignment horizontal="center"/>
    </xf>
    <xf numFmtId="3" fontId="13" fillId="0" borderId="98" xfId="0" applyNumberFormat="1" applyFont="1" applyFill="1" applyBorder="1" applyAlignment="1">
      <alignment horizontal="center"/>
    </xf>
    <xf numFmtId="3" fontId="114" fillId="0" borderId="96" xfId="0" applyNumberFormat="1" applyFont="1" applyBorder="1" applyAlignment="1">
      <alignment horizontal="center"/>
    </xf>
    <xf numFmtId="3" fontId="114" fillId="0" borderId="90" xfId="0" applyNumberFormat="1" applyFont="1" applyBorder="1" applyAlignment="1">
      <alignment horizontal="center"/>
    </xf>
    <xf numFmtId="3" fontId="13" fillId="0" borderId="86" xfId="0" applyNumberFormat="1" applyFont="1" applyBorder="1" applyAlignment="1">
      <alignment horizontal="center"/>
    </xf>
    <xf numFmtId="3" fontId="115" fillId="0" borderId="96" xfId="0" applyNumberFormat="1" applyFont="1" applyBorder="1" applyAlignment="1">
      <alignment horizontal="center"/>
    </xf>
    <xf numFmtId="3" fontId="115" fillId="0" borderId="29" xfId="0" applyNumberFormat="1" applyFont="1" applyBorder="1" applyAlignment="1">
      <alignment horizontal="center"/>
    </xf>
    <xf numFmtId="3" fontId="115" fillId="0" borderId="96" xfId="0" applyNumberFormat="1" applyFont="1" applyFill="1" applyBorder="1" applyAlignment="1">
      <alignment horizontal="center"/>
    </xf>
    <xf numFmtId="3" fontId="3" fillId="0" borderId="99" xfId="0" applyNumberFormat="1" applyFont="1" applyFill="1" applyBorder="1" applyAlignment="1">
      <alignment horizontal="center"/>
    </xf>
    <xf numFmtId="3" fontId="3" fillId="0" borderId="90" xfId="0" applyNumberFormat="1" applyFont="1" applyFill="1" applyBorder="1" applyAlignment="1">
      <alignment horizontal="center"/>
    </xf>
    <xf numFmtId="3" fontId="3" fillId="0" borderId="88" xfId="0" applyNumberFormat="1" applyFont="1" applyFill="1" applyBorder="1" applyAlignment="1">
      <alignment horizontal="center"/>
    </xf>
    <xf numFmtId="3" fontId="3" fillId="0" borderId="95" xfId="0" applyNumberFormat="1" applyFont="1" applyFill="1" applyBorder="1" applyAlignment="1">
      <alignment horizontal="center"/>
    </xf>
    <xf numFmtId="3" fontId="13" fillId="0" borderId="29" xfId="0" applyNumberFormat="1" applyFont="1" applyBorder="1" applyAlignment="1">
      <alignment horizontal="center"/>
    </xf>
    <xf numFmtId="3" fontId="115" fillId="0" borderId="88" xfId="0" applyNumberFormat="1" applyFont="1" applyFill="1" applyBorder="1" applyAlignment="1">
      <alignment horizontal="center"/>
    </xf>
    <xf numFmtId="3" fontId="115" fillId="0" borderId="84" xfId="0" applyNumberFormat="1" applyFont="1" applyBorder="1" applyAlignment="1">
      <alignment horizontal="center"/>
    </xf>
    <xf numFmtId="3" fontId="115" fillId="0" borderId="94" xfId="0" applyNumberFormat="1" applyFont="1" applyFill="1" applyBorder="1" applyAlignment="1">
      <alignment horizontal="center"/>
    </xf>
    <xf numFmtId="3" fontId="114" fillId="0" borderId="88" xfId="0" applyNumberFormat="1" applyFont="1" applyBorder="1" applyAlignment="1">
      <alignment horizontal="center"/>
    </xf>
    <xf numFmtId="0" fontId="7" fillId="0" borderId="51" xfId="0" applyFont="1" applyFill="1" applyBorder="1" applyAlignment="1">
      <alignment/>
    </xf>
    <xf numFmtId="0" fontId="7" fillId="37" borderId="58" xfId="0" applyFont="1" applyFill="1" applyBorder="1" applyAlignment="1">
      <alignment horizontal="left"/>
    </xf>
    <xf numFmtId="3" fontId="13" fillId="38" borderId="6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1" fillId="0" borderId="0" xfId="0" applyFont="1" applyAlignment="1">
      <alignment/>
    </xf>
    <xf numFmtId="3" fontId="3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3" fontId="11" fillId="0" borderId="100" xfId="0" applyNumberFormat="1" applyFont="1" applyBorder="1" applyAlignment="1">
      <alignment horizontal="center"/>
    </xf>
    <xf numFmtId="3" fontId="16" fillId="0" borderId="101" xfId="0" applyNumberFormat="1" applyFont="1" applyBorder="1" applyAlignment="1">
      <alignment horizontal="center"/>
    </xf>
    <xf numFmtId="3" fontId="11" fillId="39" borderId="65" xfId="0" applyNumberFormat="1" applyFont="1" applyFill="1" applyBorder="1" applyAlignment="1">
      <alignment horizontal="center"/>
    </xf>
    <xf numFmtId="3" fontId="16" fillId="39" borderId="52" xfId="0" applyNumberFormat="1" applyFont="1" applyFill="1" applyBorder="1" applyAlignment="1">
      <alignment horizontal="left"/>
    </xf>
    <xf numFmtId="0" fontId="16" fillId="40" borderId="102" xfId="0" applyFont="1" applyFill="1" applyBorder="1" applyAlignment="1">
      <alignment/>
    </xf>
    <xf numFmtId="0" fontId="25" fillId="0" borderId="0" xfId="0" applyFont="1" applyFill="1" applyAlignment="1">
      <alignment/>
    </xf>
    <xf numFmtId="3" fontId="35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3" fontId="114" fillId="0" borderId="93" xfId="0" applyNumberFormat="1" applyFont="1" applyBorder="1" applyAlignment="1">
      <alignment horizontal="center"/>
    </xf>
    <xf numFmtId="3" fontId="114" fillId="0" borderId="8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3" fillId="41" borderId="42" xfId="0" applyFont="1" applyFill="1" applyBorder="1" applyAlignment="1">
      <alignment horizontal="center"/>
    </xf>
    <xf numFmtId="0" fontId="3" fillId="41" borderId="23" xfId="0" applyFont="1" applyFill="1" applyBorder="1" applyAlignment="1">
      <alignment horizontal="center"/>
    </xf>
    <xf numFmtId="3" fontId="3" fillId="0" borderId="75" xfId="0" applyNumberFormat="1" applyFont="1" applyBorder="1" applyAlignment="1">
      <alignment horizontal="center"/>
    </xf>
    <xf numFmtId="3" fontId="36" fillId="0" borderId="85" xfId="0" applyNumberFormat="1" applyFont="1" applyBorder="1" applyAlignment="1">
      <alignment horizontal="left"/>
    </xf>
    <xf numFmtId="3" fontId="36" fillId="0" borderId="89" xfId="0" applyNumberFormat="1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7" fillId="33" borderId="32" xfId="0" applyFont="1" applyFill="1" applyBorder="1" applyAlignment="1">
      <alignment/>
    </xf>
    <xf numFmtId="3" fontId="13" fillId="33" borderId="32" xfId="0" applyNumberFormat="1" applyFont="1" applyFill="1" applyBorder="1" applyAlignment="1">
      <alignment horizontal="center"/>
    </xf>
    <xf numFmtId="0" fontId="25" fillId="0" borderId="29" xfId="0" applyFont="1" applyBorder="1" applyAlignment="1">
      <alignment/>
    </xf>
    <xf numFmtId="0" fontId="37" fillId="0" borderId="103" xfId="0" applyFont="1" applyBorder="1" applyAlignment="1">
      <alignment/>
    </xf>
    <xf numFmtId="0" fontId="25" fillId="0" borderId="103" xfId="0" applyFont="1" applyBorder="1" applyAlignment="1">
      <alignment/>
    </xf>
    <xf numFmtId="0" fontId="25" fillId="0" borderId="90" xfId="0" applyFont="1" applyBorder="1" applyAlignment="1">
      <alignment/>
    </xf>
    <xf numFmtId="0" fontId="3" fillId="0" borderId="43" xfId="0" applyFont="1" applyFill="1" applyBorder="1" applyAlignment="1">
      <alignment/>
    </xf>
    <xf numFmtId="3" fontId="13" fillId="0" borderId="55" xfId="0" applyNumberFormat="1" applyFont="1" applyFill="1" applyBorder="1" applyAlignment="1">
      <alignment horizontal="center"/>
    </xf>
    <xf numFmtId="3" fontId="24" fillId="0" borderId="89" xfId="0" applyNumberFormat="1" applyFont="1" applyBorder="1" applyAlignment="1">
      <alignment horizontal="left"/>
    </xf>
    <xf numFmtId="3" fontId="11" fillId="0" borderId="104" xfId="0" applyNumberFormat="1" applyFont="1" applyBorder="1" applyAlignment="1">
      <alignment horizontal="center"/>
    </xf>
    <xf numFmtId="0" fontId="37" fillId="0" borderId="93" xfId="0" applyFont="1" applyBorder="1" applyAlignment="1">
      <alignment/>
    </xf>
    <xf numFmtId="0" fontId="25" fillId="0" borderId="93" xfId="0" applyFont="1" applyBorder="1" applyAlignment="1">
      <alignment/>
    </xf>
    <xf numFmtId="0" fontId="25" fillId="0" borderId="28" xfId="0" applyFont="1" applyBorder="1" applyAlignment="1">
      <alignment/>
    </xf>
    <xf numFmtId="3" fontId="16" fillId="0" borderId="18" xfId="0" applyNumberFormat="1" applyFont="1" applyBorder="1" applyAlignment="1">
      <alignment horizontal="center"/>
    </xf>
    <xf numFmtId="3" fontId="24" fillId="0" borderId="94" xfId="0" applyNumberFormat="1" applyFont="1" applyBorder="1" applyAlignment="1">
      <alignment horizontal="left"/>
    </xf>
    <xf numFmtId="3" fontId="24" fillId="0" borderId="85" xfId="0" applyNumberFormat="1" applyFont="1" applyBorder="1" applyAlignment="1">
      <alignment horizontal="left"/>
    </xf>
    <xf numFmtId="0" fontId="3" fillId="0" borderId="105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4" fillId="0" borderId="50" xfId="0" applyFont="1" applyBorder="1" applyAlignment="1">
      <alignment/>
    </xf>
    <xf numFmtId="3" fontId="4" fillId="0" borderId="70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43" borderId="21" xfId="0" applyNumberFormat="1" applyFont="1" applyFill="1" applyBorder="1" applyAlignment="1">
      <alignment horizontal="center"/>
    </xf>
    <xf numFmtId="3" fontId="4" fillId="43" borderId="17" xfId="0" applyNumberFormat="1" applyFont="1" applyFill="1" applyBorder="1" applyAlignment="1">
      <alignment horizontal="center"/>
    </xf>
    <xf numFmtId="3" fontId="4" fillId="40" borderId="17" xfId="0" applyNumberFormat="1" applyFont="1" applyFill="1" applyBorder="1" applyAlignment="1">
      <alignment horizontal="center"/>
    </xf>
    <xf numFmtId="3" fontId="4" fillId="40" borderId="21" xfId="0" applyNumberFormat="1" applyFont="1" applyFill="1" applyBorder="1" applyAlignment="1">
      <alignment horizontal="center"/>
    </xf>
    <xf numFmtId="3" fontId="4" fillId="40" borderId="22" xfId="0" applyNumberFormat="1" applyFont="1" applyFill="1" applyBorder="1" applyAlignment="1">
      <alignment horizontal="center"/>
    </xf>
    <xf numFmtId="3" fontId="4" fillId="40" borderId="18" xfId="0" applyNumberFormat="1" applyFont="1" applyFill="1" applyBorder="1" applyAlignment="1">
      <alignment horizontal="center"/>
    </xf>
    <xf numFmtId="0" fontId="16" fillId="33" borderId="58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3" fontId="38" fillId="0" borderId="90" xfId="0" applyNumberFormat="1" applyFont="1" applyBorder="1" applyAlignment="1">
      <alignment horizontal="left"/>
    </xf>
    <xf numFmtId="0" fontId="37" fillId="0" borderId="93" xfId="0" applyFont="1" applyBorder="1" applyAlignment="1">
      <alignment/>
    </xf>
    <xf numFmtId="0" fontId="11" fillId="0" borderId="68" xfId="0" applyFont="1" applyBorder="1" applyAlignment="1">
      <alignment horizontal="right"/>
    </xf>
    <xf numFmtId="3" fontId="11" fillId="0" borderId="69" xfId="0" applyNumberFormat="1" applyFont="1" applyBorder="1" applyAlignment="1">
      <alignment horizontal="center"/>
    </xf>
    <xf numFmtId="0" fontId="4" fillId="0" borderId="51" xfId="0" applyFont="1" applyFill="1" applyBorder="1" applyAlignment="1">
      <alignment/>
    </xf>
    <xf numFmtId="3" fontId="4" fillId="0" borderId="97" xfId="0" applyNumberFormat="1" applyFont="1" applyBorder="1" applyAlignment="1">
      <alignment horizontal="center"/>
    </xf>
    <xf numFmtId="0" fontId="16" fillId="40" borderId="57" xfId="0" applyFont="1" applyFill="1" applyBorder="1" applyAlignment="1">
      <alignment/>
    </xf>
    <xf numFmtId="3" fontId="11" fillId="40" borderId="107" xfId="0" applyNumberFormat="1" applyFont="1" applyFill="1" applyBorder="1" applyAlignment="1">
      <alignment horizontal="center"/>
    </xf>
    <xf numFmtId="3" fontId="4" fillId="0" borderId="103" xfId="0" applyNumberFormat="1" applyFont="1" applyBorder="1" applyAlignment="1">
      <alignment horizontal="center"/>
    </xf>
    <xf numFmtId="0" fontId="38" fillId="0" borderId="94" xfId="0" applyFont="1" applyFill="1" applyBorder="1" applyAlignment="1">
      <alignment/>
    </xf>
    <xf numFmtId="0" fontId="37" fillId="0" borderId="29" xfId="0" applyFont="1" applyBorder="1" applyAlignment="1">
      <alignment/>
    </xf>
    <xf numFmtId="3" fontId="39" fillId="41" borderId="108" xfId="0" applyNumberFormat="1" applyFont="1" applyFill="1" applyBorder="1" applyAlignment="1">
      <alignment horizontal="left"/>
    </xf>
    <xf numFmtId="0" fontId="5" fillId="7" borderId="109" xfId="0" applyFont="1" applyFill="1" applyBorder="1" applyAlignment="1">
      <alignment horizontal="right"/>
    </xf>
    <xf numFmtId="3" fontId="13" fillId="7" borderId="110" xfId="0" applyNumberFormat="1" applyFont="1" applyFill="1" applyBorder="1" applyAlignment="1">
      <alignment horizontal="right"/>
    </xf>
    <xf numFmtId="3" fontId="11" fillId="7" borderId="110" xfId="0" applyNumberFormat="1" applyFont="1" applyFill="1" applyBorder="1" applyAlignment="1">
      <alignment horizontal="center"/>
    </xf>
    <xf numFmtId="168" fontId="40" fillId="7" borderId="111" xfId="0" applyNumberFormat="1" applyFont="1" applyFill="1" applyBorder="1" applyAlignment="1">
      <alignment horizontal="center"/>
    </xf>
    <xf numFmtId="168" fontId="24" fillId="0" borderId="0" xfId="0" applyNumberFormat="1" applyFont="1" applyFill="1" applyBorder="1" applyAlignment="1">
      <alignment/>
    </xf>
    <xf numFmtId="3" fontId="30" fillId="0" borderId="73" xfId="0" applyNumberFormat="1" applyFont="1" applyBorder="1" applyAlignment="1">
      <alignment horizontal="center"/>
    </xf>
    <xf numFmtId="3" fontId="30" fillId="0" borderId="74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168" fontId="3" fillId="0" borderId="42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25" fillId="0" borderId="68" xfId="0" applyFont="1" applyBorder="1" applyAlignment="1">
      <alignment/>
    </xf>
    <xf numFmtId="0" fontId="25" fillId="0" borderId="112" xfId="0" applyFont="1" applyBorder="1" applyAlignment="1">
      <alignment/>
    </xf>
    <xf numFmtId="0" fontId="25" fillId="0" borderId="113" xfId="0" applyFont="1" applyBorder="1" applyAlignment="1">
      <alignment/>
    </xf>
    <xf numFmtId="3" fontId="25" fillId="0" borderId="113" xfId="0" applyNumberFormat="1" applyFont="1" applyBorder="1" applyAlignment="1">
      <alignment/>
    </xf>
    <xf numFmtId="0" fontId="25" fillId="0" borderId="114" xfId="0" applyFont="1" applyBorder="1" applyAlignment="1">
      <alignment/>
    </xf>
    <xf numFmtId="168" fontId="11" fillId="0" borderId="19" xfId="0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168" fontId="4" fillId="0" borderId="0" xfId="0" applyNumberFormat="1" applyFont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5" fillId="0" borderId="113" xfId="0" applyFont="1" applyFill="1" applyBorder="1" applyAlignment="1">
      <alignment/>
    </xf>
    <xf numFmtId="168" fontId="11" fillId="0" borderId="23" xfId="0" applyNumberFormat="1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168" fontId="11" fillId="0" borderId="0" xfId="0" applyNumberFormat="1" applyFont="1" applyBorder="1" applyAlignment="1">
      <alignment horizontal="center"/>
    </xf>
    <xf numFmtId="168" fontId="24" fillId="0" borderId="0" xfId="0" applyNumberFormat="1" applyFont="1" applyAlignment="1">
      <alignment/>
    </xf>
    <xf numFmtId="0" fontId="18" fillId="0" borderId="68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3" fontId="13" fillId="0" borderId="35" xfId="0" applyNumberFormat="1" applyFont="1" applyFill="1" applyBorder="1" applyAlignment="1">
      <alignment horizontal="center"/>
    </xf>
    <xf numFmtId="168" fontId="11" fillId="0" borderId="66" xfId="0" applyNumberFormat="1" applyFont="1" applyBorder="1" applyAlignment="1">
      <alignment horizontal="center"/>
    </xf>
    <xf numFmtId="3" fontId="13" fillId="0" borderId="66" xfId="0" applyNumberFormat="1" applyFont="1" applyFill="1" applyBorder="1" applyAlignment="1">
      <alignment horizontal="center"/>
    </xf>
    <xf numFmtId="0" fontId="24" fillId="0" borderId="112" xfId="0" applyFont="1" applyFill="1" applyBorder="1" applyAlignment="1">
      <alignment/>
    </xf>
    <xf numFmtId="0" fontId="24" fillId="0" borderId="113" xfId="0" applyFont="1" applyFill="1" applyBorder="1" applyAlignment="1">
      <alignment/>
    </xf>
    <xf numFmtId="0" fontId="25" fillId="0" borderId="112" xfId="0" applyFont="1" applyFill="1" applyBorder="1" applyAlignment="1">
      <alignment/>
    </xf>
    <xf numFmtId="0" fontId="25" fillId="0" borderId="114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168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3" fillId="0" borderId="115" xfId="0" applyNumberFormat="1" applyFont="1" applyBorder="1" applyAlignment="1">
      <alignment horizontal="center"/>
    </xf>
    <xf numFmtId="168" fontId="11" fillId="0" borderId="67" xfId="0" applyNumberFormat="1" applyFont="1" applyBorder="1" applyAlignment="1">
      <alignment horizontal="center"/>
    </xf>
    <xf numFmtId="168" fontId="41" fillId="0" borderId="0" xfId="0" applyNumberFormat="1" applyFont="1" applyBorder="1" applyAlignment="1">
      <alignment/>
    </xf>
    <xf numFmtId="168" fontId="40" fillId="0" borderId="38" xfId="0" applyNumberFormat="1" applyFont="1" applyBorder="1" applyAlignment="1">
      <alignment horizontal="center"/>
    </xf>
    <xf numFmtId="168" fontId="43" fillId="0" borderId="0" xfId="0" applyNumberFormat="1" applyFont="1" applyFill="1" applyBorder="1" applyAlignment="1">
      <alignment horizontal="center"/>
    </xf>
    <xf numFmtId="168" fontId="44" fillId="0" borderId="0" xfId="0" applyNumberFormat="1" applyFont="1" applyBorder="1" applyAlignment="1">
      <alignment horizontal="right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center"/>
    </xf>
    <xf numFmtId="168" fontId="12" fillId="0" borderId="0" xfId="0" applyNumberFormat="1" applyFont="1" applyAlignment="1">
      <alignment/>
    </xf>
    <xf numFmtId="168" fontId="45" fillId="0" borderId="0" xfId="0" applyNumberFormat="1" applyFont="1" applyBorder="1" applyAlignment="1">
      <alignment horizontal="right"/>
    </xf>
    <xf numFmtId="168" fontId="41" fillId="0" borderId="0" xfId="0" applyNumberFormat="1" applyFont="1" applyFill="1" applyBorder="1" applyAlignment="1">
      <alignment/>
    </xf>
    <xf numFmtId="0" fontId="25" fillId="0" borderId="116" xfId="0" applyFont="1" applyFill="1" applyBorder="1" applyAlignment="1">
      <alignment/>
    </xf>
    <xf numFmtId="49" fontId="40" fillId="0" borderId="68" xfId="0" applyNumberFormat="1" applyFont="1" applyBorder="1" applyAlignment="1">
      <alignment horizontal="center"/>
    </xf>
    <xf numFmtId="168" fontId="42" fillId="0" borderId="117" xfId="49" applyNumberFormat="1" applyFont="1" applyBorder="1" applyAlignment="1">
      <alignment horizontal="center"/>
    </xf>
    <xf numFmtId="3" fontId="4" fillId="0" borderId="118" xfId="0" applyNumberFormat="1" applyFont="1" applyBorder="1" applyAlignment="1">
      <alignment horizontal="center"/>
    </xf>
    <xf numFmtId="168" fontId="4" fillId="0" borderId="118" xfId="0" applyNumberFormat="1" applyFont="1" applyBorder="1" applyAlignment="1">
      <alignment horizontal="center"/>
    </xf>
    <xf numFmtId="168" fontId="4" fillId="0" borderId="118" xfId="0" applyNumberFormat="1" applyFont="1" applyFill="1" applyBorder="1" applyAlignment="1">
      <alignment horizontal="center"/>
    </xf>
    <xf numFmtId="168" fontId="42" fillId="0" borderId="119" xfId="49" applyNumberFormat="1" applyFont="1" applyBorder="1" applyAlignment="1">
      <alignment horizontal="center"/>
    </xf>
    <xf numFmtId="168" fontId="4" fillId="42" borderId="118" xfId="0" applyNumberFormat="1" applyFont="1" applyFill="1" applyBorder="1" applyAlignment="1">
      <alignment horizontal="center"/>
    </xf>
    <xf numFmtId="3" fontId="116" fillId="0" borderId="118" xfId="0" applyNumberFormat="1" applyFont="1" applyBorder="1" applyAlignment="1">
      <alignment horizontal="center"/>
    </xf>
    <xf numFmtId="168" fontId="116" fillId="0" borderId="118" xfId="0" applyNumberFormat="1" applyFont="1" applyBorder="1" applyAlignment="1">
      <alignment horizontal="center"/>
    </xf>
    <xf numFmtId="3" fontId="3" fillId="0" borderId="118" xfId="0" applyNumberFormat="1" applyFont="1" applyBorder="1" applyAlignment="1">
      <alignment horizontal="center"/>
    </xf>
    <xf numFmtId="3" fontId="117" fillId="0" borderId="118" xfId="0" applyNumberFormat="1" applyFont="1" applyBorder="1" applyAlignment="1">
      <alignment horizontal="center"/>
    </xf>
    <xf numFmtId="168" fontId="118" fillId="0" borderId="118" xfId="0" applyNumberFormat="1" applyFont="1" applyBorder="1" applyAlignment="1">
      <alignment horizontal="center"/>
    </xf>
    <xf numFmtId="3" fontId="3" fillId="0" borderId="120" xfId="0" applyNumberFormat="1" applyFont="1" applyBorder="1" applyAlignment="1">
      <alignment horizontal="center"/>
    </xf>
    <xf numFmtId="168" fontId="4" fillId="0" borderId="120" xfId="0" applyNumberFormat="1" applyFont="1" applyBorder="1" applyAlignment="1">
      <alignment horizontal="center"/>
    </xf>
    <xf numFmtId="168" fontId="42" fillId="0" borderId="121" xfId="49" applyNumberFormat="1" applyFont="1" applyBorder="1" applyAlignment="1">
      <alignment horizontal="center"/>
    </xf>
    <xf numFmtId="3" fontId="4" fillId="0" borderId="122" xfId="0" applyNumberFormat="1" applyFont="1" applyBorder="1" applyAlignment="1">
      <alignment horizontal="center"/>
    </xf>
    <xf numFmtId="168" fontId="4" fillId="0" borderId="122" xfId="0" applyNumberFormat="1" applyFont="1" applyBorder="1" applyAlignment="1">
      <alignment horizontal="center"/>
    </xf>
    <xf numFmtId="168" fontId="4" fillId="0" borderId="122" xfId="0" applyNumberFormat="1" applyFont="1" applyFill="1" applyBorder="1" applyAlignment="1">
      <alignment horizontal="center"/>
    </xf>
    <xf numFmtId="168" fontId="36" fillId="0" borderId="118" xfId="0" applyNumberFormat="1" applyFont="1" applyBorder="1" applyAlignment="1">
      <alignment horizontal="center"/>
    </xf>
    <xf numFmtId="0" fontId="25" fillId="0" borderId="123" xfId="0" applyFont="1" applyBorder="1" applyAlignment="1">
      <alignment/>
    </xf>
    <xf numFmtId="0" fontId="6" fillId="0" borderId="70" xfId="0" applyFont="1" applyBorder="1" applyAlignment="1">
      <alignment horizontal="center"/>
    </xf>
    <xf numFmtId="0" fontId="3" fillId="0" borderId="70" xfId="0" applyFont="1" applyBorder="1" applyAlignment="1">
      <alignment/>
    </xf>
    <xf numFmtId="0" fontId="8" fillId="0" borderId="70" xfId="0" applyFont="1" applyBorder="1" applyAlignment="1">
      <alignment horizontal="center"/>
    </xf>
    <xf numFmtId="49" fontId="7" fillId="0" borderId="124" xfId="0" applyNumberFormat="1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3" fillId="0" borderId="69" xfId="0" applyFont="1" applyBorder="1" applyAlignment="1">
      <alignment/>
    </xf>
    <xf numFmtId="0" fontId="8" fillId="0" borderId="69" xfId="0" applyFont="1" applyBorder="1" applyAlignment="1">
      <alignment horizontal="center"/>
    </xf>
    <xf numFmtId="3" fontId="4" fillId="0" borderId="125" xfId="0" applyNumberFormat="1" applyFont="1" applyBorder="1" applyAlignment="1">
      <alignment horizontal="center"/>
    </xf>
    <xf numFmtId="168" fontId="4" fillId="0" borderId="125" xfId="0" applyNumberFormat="1" applyFont="1" applyBorder="1" applyAlignment="1">
      <alignment horizontal="center"/>
    </xf>
    <xf numFmtId="168" fontId="36" fillId="0" borderId="125" xfId="0" applyNumberFormat="1" applyFont="1" applyBorder="1" applyAlignment="1">
      <alignment horizontal="center"/>
    </xf>
    <xf numFmtId="168" fontId="11" fillId="0" borderId="126" xfId="0" applyNumberFormat="1" applyFont="1" applyBorder="1" applyAlignment="1">
      <alignment horizontal="center"/>
    </xf>
    <xf numFmtId="3" fontId="13" fillId="0" borderId="127" xfId="0" applyNumberFormat="1" applyFont="1" applyBorder="1" applyAlignment="1">
      <alignment horizontal="center"/>
    </xf>
    <xf numFmtId="3" fontId="13" fillId="0" borderId="128" xfId="0" applyNumberFormat="1" applyFont="1" applyBorder="1" applyAlignment="1">
      <alignment horizontal="center"/>
    </xf>
    <xf numFmtId="3" fontId="13" fillId="0" borderId="129" xfId="0" applyNumberFormat="1" applyFont="1" applyBorder="1" applyAlignment="1">
      <alignment horizontal="center"/>
    </xf>
    <xf numFmtId="3" fontId="119" fillId="0" borderId="128" xfId="0" applyNumberFormat="1" applyFont="1" applyFill="1" applyBorder="1" applyAlignment="1">
      <alignment horizontal="center"/>
    </xf>
    <xf numFmtId="3" fontId="13" fillId="0" borderId="128" xfId="0" applyNumberFormat="1" applyFont="1" applyFill="1" applyBorder="1" applyAlignment="1">
      <alignment horizontal="center"/>
    </xf>
    <xf numFmtId="3" fontId="13" fillId="0" borderId="128" xfId="0" applyNumberFormat="1" applyFont="1" applyFill="1" applyBorder="1" applyAlignment="1">
      <alignment horizontal="center" vertical="center"/>
    </xf>
    <xf numFmtId="3" fontId="13" fillId="0" borderId="130" xfId="0" applyNumberFormat="1" applyFont="1" applyFill="1" applyBorder="1" applyAlignment="1">
      <alignment horizontal="center" vertical="center"/>
    </xf>
    <xf numFmtId="3" fontId="13" fillId="0" borderId="66" xfId="0" applyNumberFormat="1" applyFont="1" applyBorder="1" applyAlignment="1">
      <alignment horizontal="right"/>
    </xf>
    <xf numFmtId="0" fontId="13" fillId="0" borderId="78" xfId="0" applyFont="1" applyFill="1" applyBorder="1" applyAlignment="1">
      <alignment horizontal="right"/>
    </xf>
    <xf numFmtId="3" fontId="13" fillId="0" borderId="32" xfId="0" applyNumberFormat="1" applyFont="1" applyFill="1" applyBorder="1" applyAlignment="1">
      <alignment horizontal="right"/>
    </xf>
    <xf numFmtId="3" fontId="4" fillId="0" borderId="131" xfId="0" applyNumberFormat="1" applyFont="1" applyFill="1" applyBorder="1" applyAlignment="1">
      <alignment horizontal="center"/>
    </xf>
    <xf numFmtId="168" fontId="4" fillId="0" borderId="131" xfId="0" applyNumberFormat="1" applyFont="1" applyBorder="1" applyAlignment="1">
      <alignment horizontal="center"/>
    </xf>
    <xf numFmtId="168" fontId="42" fillId="0" borderId="132" xfId="49" applyNumberFormat="1" applyFont="1" applyBorder="1" applyAlignment="1">
      <alignment horizontal="center"/>
    </xf>
    <xf numFmtId="3" fontId="4" fillId="0" borderId="118" xfId="0" applyNumberFormat="1" applyFont="1" applyFill="1" applyBorder="1" applyAlignment="1">
      <alignment horizontal="center"/>
    </xf>
    <xf numFmtId="3" fontId="16" fillId="0" borderId="118" xfId="0" applyNumberFormat="1" applyFont="1" applyFill="1" applyBorder="1" applyAlignment="1">
      <alignment horizontal="center"/>
    </xf>
    <xf numFmtId="3" fontId="118" fillId="0" borderId="118" xfId="0" applyNumberFormat="1" applyFont="1" applyFill="1" applyBorder="1" applyAlignment="1">
      <alignment horizontal="center"/>
    </xf>
    <xf numFmtId="3" fontId="4" fillId="0" borderId="120" xfId="0" applyNumberFormat="1" applyFont="1" applyFill="1" applyBorder="1" applyAlignment="1">
      <alignment horizontal="center"/>
    </xf>
    <xf numFmtId="168" fontId="4" fillId="0" borderId="120" xfId="0" applyNumberFormat="1" applyFont="1" applyFill="1" applyBorder="1" applyAlignment="1">
      <alignment horizontal="center"/>
    </xf>
    <xf numFmtId="3" fontId="13" fillId="0" borderId="133" xfId="0" applyNumberFormat="1" applyFont="1" applyBorder="1" applyAlignment="1">
      <alignment horizontal="center"/>
    </xf>
    <xf numFmtId="3" fontId="11" fillId="0" borderId="128" xfId="0" applyNumberFormat="1" applyFont="1" applyFill="1" applyBorder="1" applyAlignment="1">
      <alignment horizontal="center"/>
    </xf>
    <xf numFmtId="3" fontId="13" fillId="41" borderId="130" xfId="0" applyNumberFormat="1" applyFont="1" applyFill="1" applyBorder="1" applyAlignment="1">
      <alignment horizontal="center"/>
    </xf>
    <xf numFmtId="0" fontId="13" fillId="0" borderId="83" xfId="0" applyFont="1" applyBorder="1" applyAlignment="1">
      <alignment horizontal="right"/>
    </xf>
    <xf numFmtId="3" fontId="4" fillId="0" borderId="131" xfId="0" applyNumberFormat="1" applyFont="1" applyBorder="1" applyAlignment="1">
      <alignment horizontal="center"/>
    </xf>
    <xf numFmtId="3" fontId="16" fillId="0" borderId="118" xfId="0" applyNumberFormat="1" applyFont="1" applyBorder="1" applyAlignment="1">
      <alignment horizontal="center"/>
    </xf>
    <xf numFmtId="3" fontId="120" fillId="0" borderId="118" xfId="0" applyNumberFormat="1" applyFont="1" applyBorder="1" applyAlignment="1">
      <alignment horizontal="center"/>
    </xf>
    <xf numFmtId="3" fontId="116" fillId="0" borderId="120" xfId="0" applyNumberFormat="1" applyFont="1" applyBorder="1" applyAlignment="1">
      <alignment horizontal="center"/>
    </xf>
    <xf numFmtId="3" fontId="13" fillId="0" borderId="133" xfId="0" applyNumberFormat="1" applyFont="1" applyFill="1" applyBorder="1" applyAlignment="1">
      <alignment horizontal="center"/>
    </xf>
    <xf numFmtId="3" fontId="13" fillId="0" borderId="130" xfId="0" applyNumberFormat="1" applyFont="1" applyFill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3" fillId="0" borderId="134" xfId="0" applyFont="1" applyBorder="1" applyAlignment="1">
      <alignment/>
    </xf>
    <xf numFmtId="0" fontId="30" fillId="0" borderId="135" xfId="0" applyFont="1" applyBorder="1" applyAlignment="1">
      <alignment horizontal="right"/>
    </xf>
    <xf numFmtId="0" fontId="3" fillId="0" borderId="135" xfId="0" applyFont="1" applyBorder="1" applyAlignment="1">
      <alignment/>
    </xf>
    <xf numFmtId="0" fontId="3" fillId="0" borderId="136" xfId="0" applyFont="1" applyBorder="1" applyAlignment="1">
      <alignment/>
    </xf>
    <xf numFmtId="0" fontId="13" fillId="0" borderId="78" xfId="0" applyFont="1" applyBorder="1" applyAlignment="1">
      <alignment horizontal="right"/>
    </xf>
    <xf numFmtId="3" fontId="120" fillId="0" borderId="120" xfId="0" applyNumberFormat="1" applyFont="1" applyBorder="1" applyAlignment="1">
      <alignment horizontal="center"/>
    </xf>
    <xf numFmtId="168" fontId="116" fillId="0" borderId="120" xfId="0" applyNumberFormat="1" applyFont="1" applyBorder="1" applyAlignment="1">
      <alignment horizontal="center"/>
    </xf>
    <xf numFmtId="3" fontId="13" fillId="33" borderId="130" xfId="0" applyNumberFormat="1" applyFont="1" applyFill="1" applyBorder="1" applyAlignment="1">
      <alignment horizontal="center"/>
    </xf>
    <xf numFmtId="0" fontId="7" fillId="0" borderId="134" xfId="0" applyFont="1" applyBorder="1" applyAlignment="1">
      <alignment horizontal="left"/>
    </xf>
    <xf numFmtId="0" fontId="7" fillId="0" borderId="135" xfId="0" applyFont="1" applyBorder="1" applyAlignment="1">
      <alignment horizontal="left"/>
    </xf>
    <xf numFmtId="0" fontId="7" fillId="33" borderId="136" xfId="0" applyFont="1" applyFill="1" applyBorder="1" applyAlignment="1">
      <alignment/>
    </xf>
    <xf numFmtId="3" fontId="11" fillId="0" borderId="133" xfId="0" applyNumberFormat="1" applyFont="1" applyBorder="1" applyAlignment="1">
      <alignment horizontal="center"/>
    </xf>
    <xf numFmtId="3" fontId="11" fillId="0" borderId="128" xfId="0" applyNumberFormat="1" applyFont="1" applyBorder="1" applyAlignment="1">
      <alignment horizontal="center"/>
    </xf>
    <xf numFmtId="3" fontId="11" fillId="0" borderId="130" xfId="0" applyNumberFormat="1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4" fillId="0" borderId="134" xfId="0" applyFont="1" applyBorder="1" applyAlignment="1">
      <alignment/>
    </xf>
    <xf numFmtId="0" fontId="31" fillId="0" borderId="135" xfId="0" applyFont="1" applyBorder="1" applyAlignment="1">
      <alignment horizontal="right"/>
    </xf>
    <xf numFmtId="0" fontId="4" fillId="0" borderId="135" xfId="0" applyFont="1" applyBorder="1" applyAlignment="1">
      <alignment/>
    </xf>
    <xf numFmtId="0" fontId="4" fillId="0" borderId="136" xfId="0" applyFont="1" applyBorder="1" applyAlignment="1">
      <alignment/>
    </xf>
    <xf numFmtId="0" fontId="11" fillId="0" borderId="137" xfId="0" applyFont="1" applyBorder="1" applyAlignment="1">
      <alignment horizontal="right"/>
    </xf>
    <xf numFmtId="0" fontId="4" fillId="0" borderId="138" xfId="0" applyFont="1" applyBorder="1" applyAlignment="1">
      <alignment/>
    </xf>
    <xf numFmtId="3" fontId="11" fillId="0" borderId="127" xfId="0" applyNumberFormat="1" applyFont="1" applyBorder="1" applyAlignment="1">
      <alignment horizontal="center"/>
    </xf>
    <xf numFmtId="0" fontId="31" fillId="0" borderId="139" xfId="0" applyFont="1" applyBorder="1" applyAlignment="1">
      <alignment horizontal="right"/>
    </xf>
    <xf numFmtId="3" fontId="11" fillId="0" borderId="129" xfId="0" applyNumberFormat="1" applyFont="1" applyBorder="1" applyAlignment="1">
      <alignment horizontal="center"/>
    </xf>
    <xf numFmtId="168" fontId="42" fillId="0" borderId="140" xfId="49" applyNumberFormat="1" applyFont="1" applyBorder="1" applyAlignment="1">
      <alignment horizontal="center"/>
    </xf>
    <xf numFmtId="168" fontId="4" fillId="42" borderId="131" xfId="0" applyNumberFormat="1" applyFont="1" applyFill="1" applyBorder="1" applyAlignment="1">
      <alignment horizontal="center"/>
    </xf>
    <xf numFmtId="3" fontId="4" fillId="0" borderId="120" xfId="0" applyNumberFormat="1" applyFont="1" applyBorder="1" applyAlignment="1">
      <alignment horizontal="center"/>
    </xf>
    <xf numFmtId="3" fontId="11" fillId="33" borderId="128" xfId="0" applyNumberFormat="1" applyFont="1" applyFill="1" applyBorder="1" applyAlignment="1">
      <alignment horizontal="center"/>
    </xf>
    <xf numFmtId="3" fontId="11" fillId="39" borderId="128" xfId="0" applyNumberFormat="1" applyFont="1" applyFill="1" applyBorder="1" applyAlignment="1">
      <alignment horizontal="center"/>
    </xf>
    <xf numFmtId="3" fontId="11" fillId="40" borderId="128" xfId="0" applyNumberFormat="1" applyFont="1" applyFill="1" applyBorder="1" applyAlignment="1">
      <alignment horizontal="center"/>
    </xf>
    <xf numFmtId="0" fontId="16" fillId="0" borderId="134" xfId="0" applyFont="1" applyBorder="1" applyAlignment="1">
      <alignment/>
    </xf>
    <xf numFmtId="0" fontId="16" fillId="33" borderId="135" xfId="0" applyFont="1" applyFill="1" applyBorder="1" applyAlignment="1">
      <alignment/>
    </xf>
    <xf numFmtId="0" fontId="16" fillId="39" borderId="135" xfId="0" applyFont="1" applyFill="1" applyBorder="1" applyAlignment="1">
      <alignment/>
    </xf>
    <xf numFmtId="0" fontId="16" fillId="40" borderId="135" xfId="0" applyFont="1" applyFill="1" applyBorder="1" applyAlignment="1">
      <alignment/>
    </xf>
    <xf numFmtId="0" fontId="11" fillId="0" borderId="78" xfId="0" applyFont="1" applyBorder="1" applyAlignment="1">
      <alignment horizontal="right"/>
    </xf>
    <xf numFmtId="168" fontId="114" fillId="0" borderId="118" xfId="0" applyNumberFormat="1" applyFont="1" applyBorder="1" applyAlignment="1">
      <alignment horizontal="center"/>
    </xf>
    <xf numFmtId="168" fontId="4" fillId="0" borderId="141" xfId="0" applyNumberFormat="1" applyFont="1" applyBorder="1" applyAlignment="1">
      <alignment horizontal="center"/>
    </xf>
    <xf numFmtId="0" fontId="4" fillId="0" borderId="139" xfId="0" applyFont="1" applyBorder="1" applyAlignment="1">
      <alignment/>
    </xf>
    <xf numFmtId="3" fontId="11" fillId="33" borderId="130" xfId="0" applyNumberFormat="1" applyFont="1" applyFill="1" applyBorder="1" applyAlignment="1">
      <alignment horizontal="center"/>
    </xf>
    <xf numFmtId="0" fontId="16" fillId="33" borderId="136" xfId="0" applyFont="1" applyFill="1" applyBorder="1" applyAlignment="1">
      <alignment/>
    </xf>
    <xf numFmtId="3" fontId="4" fillId="0" borderId="122" xfId="0" applyNumberFormat="1" applyFont="1" applyFill="1" applyBorder="1" applyAlignment="1">
      <alignment horizontal="center"/>
    </xf>
    <xf numFmtId="0" fontId="16" fillId="0" borderId="138" xfId="0" applyFont="1" applyBorder="1" applyAlignment="1">
      <alignment/>
    </xf>
    <xf numFmtId="168" fontId="25" fillId="0" borderId="0" xfId="0" applyNumberFormat="1" applyFont="1" applyFill="1" applyBorder="1" applyAlignment="1">
      <alignment horizontal="right"/>
    </xf>
    <xf numFmtId="168" fontId="24" fillId="0" borderId="122" xfId="49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13" fillId="0" borderId="67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168" fontId="121" fillId="0" borderId="119" xfId="49" applyNumberFormat="1" applyFont="1" applyBorder="1" applyAlignment="1">
      <alignment horizontal="center"/>
    </xf>
    <xf numFmtId="168" fontId="121" fillId="0" borderId="121" xfId="49" applyNumberFormat="1" applyFont="1" applyBorder="1" applyAlignment="1">
      <alignment horizontal="center"/>
    </xf>
    <xf numFmtId="168" fontId="122" fillId="0" borderId="121" xfId="49" applyNumberFormat="1" applyFont="1" applyBorder="1" applyAlignment="1">
      <alignment horizontal="center"/>
    </xf>
    <xf numFmtId="9" fontId="1" fillId="0" borderId="0" xfId="49" applyFill="1" applyBorder="1" applyAlignment="1">
      <alignment/>
    </xf>
    <xf numFmtId="9" fontId="42" fillId="0" borderId="0" xfId="49" applyFont="1" applyFill="1" applyBorder="1" applyAlignment="1">
      <alignment horizontal="left"/>
    </xf>
    <xf numFmtId="3" fontId="11" fillId="0" borderId="17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1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4" fillId="0" borderId="135" xfId="0" applyFont="1" applyFill="1" applyBorder="1" applyAlignment="1">
      <alignment/>
    </xf>
    <xf numFmtId="0" fontId="43" fillId="0" borderId="135" xfId="0" applyFont="1" applyFill="1" applyBorder="1" applyAlignment="1">
      <alignment horizontal="left"/>
    </xf>
    <xf numFmtId="3" fontId="47" fillId="0" borderId="17" xfId="0" applyNumberFormat="1" applyFont="1" applyBorder="1" applyAlignment="1">
      <alignment/>
    </xf>
    <xf numFmtId="0" fontId="16" fillId="0" borderId="134" xfId="0" applyFont="1" applyFill="1" applyBorder="1" applyAlignment="1">
      <alignment/>
    </xf>
    <xf numFmtId="3" fontId="11" fillId="0" borderId="133" xfId="0" applyNumberFormat="1" applyFont="1" applyFill="1" applyBorder="1" applyAlignment="1">
      <alignment horizontal="center"/>
    </xf>
    <xf numFmtId="0" fontId="16" fillId="0" borderId="135" xfId="0" applyFont="1" applyFill="1" applyBorder="1" applyAlignment="1">
      <alignment/>
    </xf>
    <xf numFmtId="0" fontId="16" fillId="0" borderId="136" xfId="0" applyFont="1" applyFill="1" applyBorder="1" applyAlignment="1">
      <alignment/>
    </xf>
    <xf numFmtId="3" fontId="11" fillId="0" borderId="130" xfId="0" applyNumberFormat="1" applyFont="1" applyFill="1" applyBorder="1" applyAlignment="1">
      <alignment horizontal="center"/>
    </xf>
    <xf numFmtId="0" fontId="43" fillId="0" borderId="134" xfId="0" applyFont="1" applyFill="1" applyBorder="1" applyAlignment="1">
      <alignment/>
    </xf>
    <xf numFmtId="0" fontId="43" fillId="0" borderId="138" xfId="0" applyFont="1" applyFill="1" applyBorder="1" applyAlignment="1">
      <alignment/>
    </xf>
    <xf numFmtId="0" fontId="43" fillId="0" borderId="135" xfId="0" applyFont="1" applyFill="1" applyBorder="1" applyAlignment="1">
      <alignment/>
    </xf>
    <xf numFmtId="0" fontId="123" fillId="0" borderId="135" xfId="0" applyFont="1" applyFill="1" applyBorder="1" applyAlignment="1">
      <alignment horizontal="left"/>
    </xf>
    <xf numFmtId="0" fontId="12" fillId="0" borderId="135" xfId="0" applyFont="1" applyFill="1" applyBorder="1" applyAlignment="1">
      <alignment/>
    </xf>
    <xf numFmtId="0" fontId="43" fillId="0" borderId="135" xfId="0" applyFont="1" applyFill="1" applyBorder="1" applyAlignment="1">
      <alignment horizontal="left"/>
    </xf>
    <xf numFmtId="0" fontId="43" fillId="41" borderId="136" xfId="0" applyFont="1" applyFill="1" applyBorder="1" applyAlignment="1">
      <alignment horizontal="left"/>
    </xf>
    <xf numFmtId="0" fontId="43" fillId="0" borderId="73" xfId="0" applyFont="1" applyBorder="1" applyAlignment="1">
      <alignment/>
    </xf>
    <xf numFmtId="0" fontId="48" fillId="0" borderId="74" xfId="0" applyFont="1" applyBorder="1" applyAlignment="1">
      <alignment horizontal="right"/>
    </xf>
    <xf numFmtId="0" fontId="43" fillId="0" borderId="142" xfId="0" applyFont="1" applyFill="1" applyBorder="1" applyAlignment="1">
      <alignment/>
    </xf>
    <xf numFmtId="0" fontId="123" fillId="0" borderId="135" xfId="0" applyFont="1" applyFill="1" applyBorder="1" applyAlignment="1">
      <alignment horizontal="left"/>
    </xf>
    <xf numFmtId="0" fontId="43" fillId="0" borderId="136" xfId="0" applyFont="1" applyFill="1" applyBorder="1" applyAlignment="1">
      <alignment/>
    </xf>
    <xf numFmtId="0" fontId="7" fillId="0" borderId="124" xfId="0" applyNumberFormat="1" applyFont="1" applyBorder="1" applyAlignment="1">
      <alignment horizontal="center"/>
    </xf>
    <xf numFmtId="3" fontId="4" fillId="0" borderId="14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4" fillId="43" borderId="135" xfId="0" applyFont="1" applyFill="1" applyBorder="1" applyAlignment="1">
      <alignment/>
    </xf>
    <xf numFmtId="3" fontId="125" fillId="43" borderId="128" xfId="0" applyNumberFormat="1" applyFont="1" applyFill="1" applyBorder="1" applyAlignment="1">
      <alignment horizontal="center"/>
    </xf>
    <xf numFmtId="168" fontId="126" fillId="43" borderId="118" xfId="0" applyNumberFormat="1" applyFont="1" applyFill="1" applyBorder="1" applyAlignment="1">
      <alignment horizontal="center"/>
    </xf>
    <xf numFmtId="3" fontId="126" fillId="43" borderId="118" xfId="0" applyNumberFormat="1" applyFont="1" applyFill="1" applyBorder="1" applyAlignment="1">
      <alignment horizontal="center"/>
    </xf>
    <xf numFmtId="0" fontId="124" fillId="44" borderId="135" xfId="0" applyFont="1" applyFill="1" applyBorder="1" applyAlignment="1">
      <alignment/>
    </xf>
    <xf numFmtId="3" fontId="125" fillId="44" borderId="128" xfId="0" applyNumberFormat="1" applyFont="1" applyFill="1" applyBorder="1" applyAlignment="1">
      <alignment horizontal="center"/>
    </xf>
    <xf numFmtId="168" fontId="126" fillId="44" borderId="118" xfId="0" applyNumberFormat="1" applyFont="1" applyFill="1" applyBorder="1" applyAlignment="1">
      <alignment horizontal="center"/>
    </xf>
    <xf numFmtId="3" fontId="126" fillId="44" borderId="118" xfId="0" applyNumberFormat="1" applyFont="1" applyFill="1" applyBorder="1" applyAlignment="1">
      <alignment horizontal="center"/>
    </xf>
    <xf numFmtId="0" fontId="127" fillId="44" borderId="136" xfId="0" applyFont="1" applyFill="1" applyBorder="1" applyAlignment="1">
      <alignment/>
    </xf>
    <xf numFmtId="3" fontId="125" fillId="44" borderId="130" xfId="0" applyNumberFormat="1" applyFont="1" applyFill="1" applyBorder="1" applyAlignment="1">
      <alignment horizontal="center"/>
    </xf>
    <xf numFmtId="168" fontId="126" fillId="44" borderId="120" xfId="0" applyNumberFormat="1" applyFont="1" applyFill="1" applyBorder="1" applyAlignment="1">
      <alignment horizontal="center"/>
    </xf>
    <xf numFmtId="3" fontId="126" fillId="44" borderId="120" xfId="0" applyNumberFormat="1" applyFont="1" applyFill="1" applyBorder="1" applyAlignment="1">
      <alignment horizontal="center"/>
    </xf>
    <xf numFmtId="0" fontId="127" fillId="33" borderId="136" xfId="0" applyFont="1" applyFill="1" applyBorder="1" applyAlignment="1">
      <alignment/>
    </xf>
    <xf numFmtId="3" fontId="125" fillId="33" borderId="130" xfId="0" applyNumberFormat="1" applyFont="1" applyFill="1" applyBorder="1" applyAlignment="1">
      <alignment horizontal="center"/>
    </xf>
    <xf numFmtId="168" fontId="126" fillId="43" borderId="120" xfId="0" applyNumberFormat="1" applyFont="1" applyFill="1" applyBorder="1" applyAlignment="1">
      <alignment horizontal="center"/>
    </xf>
    <xf numFmtId="3" fontId="126" fillId="43" borderId="120" xfId="0" applyNumberFormat="1" applyFont="1" applyFill="1" applyBorder="1" applyAlignment="1">
      <alignment horizontal="center"/>
    </xf>
    <xf numFmtId="0" fontId="126" fillId="44" borderId="136" xfId="0" applyFont="1" applyFill="1" applyBorder="1" applyAlignment="1">
      <alignment/>
    </xf>
    <xf numFmtId="3" fontId="128" fillId="44" borderId="130" xfId="0" applyNumberFormat="1" applyFont="1" applyFill="1" applyBorder="1" applyAlignment="1">
      <alignment horizontal="center"/>
    </xf>
    <xf numFmtId="0" fontId="126" fillId="45" borderId="135" xfId="0" applyFont="1" applyFill="1" applyBorder="1" applyAlignment="1">
      <alignment/>
    </xf>
    <xf numFmtId="3" fontId="128" fillId="45" borderId="128" xfId="0" applyNumberFormat="1" applyFont="1" applyFill="1" applyBorder="1" applyAlignment="1">
      <alignment horizontal="center"/>
    </xf>
    <xf numFmtId="0" fontId="126" fillId="44" borderId="135" xfId="0" applyFont="1" applyFill="1" applyBorder="1" applyAlignment="1">
      <alignment/>
    </xf>
    <xf numFmtId="3" fontId="128" fillId="44" borderId="128" xfId="0" applyNumberFormat="1" applyFont="1" applyFill="1" applyBorder="1" applyAlignment="1">
      <alignment horizontal="center"/>
    </xf>
    <xf numFmtId="3" fontId="128" fillId="45" borderId="130" xfId="0" applyNumberFormat="1" applyFont="1" applyFill="1" applyBorder="1" applyAlignment="1">
      <alignment horizontal="center"/>
    </xf>
    <xf numFmtId="168" fontId="129" fillId="43" borderId="120" xfId="0" applyNumberFormat="1" applyFont="1" applyFill="1" applyBorder="1" applyAlignment="1">
      <alignment horizontal="center"/>
    </xf>
    <xf numFmtId="168" fontId="4" fillId="46" borderId="118" xfId="0" applyNumberFormat="1" applyFont="1" applyFill="1" applyBorder="1" applyAlignment="1">
      <alignment horizontal="center"/>
    </xf>
    <xf numFmtId="3" fontId="4" fillId="46" borderId="118" xfId="0" applyNumberFormat="1" applyFont="1" applyFill="1" applyBorder="1" applyAlignment="1">
      <alignment horizontal="center"/>
    </xf>
    <xf numFmtId="3" fontId="11" fillId="46" borderId="128" xfId="0" applyNumberFormat="1" applyFont="1" applyFill="1" applyBorder="1" applyAlignment="1">
      <alignment horizontal="center"/>
    </xf>
    <xf numFmtId="0" fontId="4" fillId="46" borderId="134" xfId="0" applyFont="1" applyFill="1" applyBorder="1" applyAlignment="1">
      <alignment/>
    </xf>
    <xf numFmtId="3" fontId="31" fillId="46" borderId="133" xfId="0" applyNumberFormat="1" applyFont="1" applyFill="1" applyBorder="1" applyAlignment="1">
      <alignment horizontal="center"/>
    </xf>
    <xf numFmtId="168" fontId="4" fillId="46" borderId="131" xfId="0" applyNumberFormat="1" applyFont="1" applyFill="1" applyBorder="1" applyAlignment="1">
      <alignment horizontal="center"/>
    </xf>
    <xf numFmtId="3" fontId="4" fillId="46" borderId="131" xfId="0" applyNumberFormat="1" applyFont="1" applyFill="1" applyBorder="1" applyAlignment="1">
      <alignment horizontal="center"/>
    </xf>
    <xf numFmtId="0" fontId="4" fillId="46" borderId="135" xfId="0" applyFont="1" applyFill="1" applyBorder="1" applyAlignment="1">
      <alignment/>
    </xf>
    <xf numFmtId="3" fontId="31" fillId="46" borderId="128" xfId="0" applyNumberFormat="1" applyFont="1" applyFill="1" applyBorder="1" applyAlignment="1">
      <alignment horizontal="center"/>
    </xf>
    <xf numFmtId="0" fontId="4" fillId="47" borderId="135" xfId="0" applyFont="1" applyFill="1" applyBorder="1" applyAlignment="1">
      <alignment/>
    </xf>
    <xf numFmtId="3" fontId="31" fillId="47" borderId="128" xfId="0" applyNumberFormat="1" applyFont="1" applyFill="1" applyBorder="1" applyAlignment="1">
      <alignment horizontal="center"/>
    </xf>
    <xf numFmtId="3" fontId="125" fillId="0" borderId="128" xfId="0" applyNumberFormat="1" applyFont="1" applyFill="1" applyBorder="1" applyAlignment="1">
      <alignment horizontal="center"/>
    </xf>
    <xf numFmtId="168" fontId="129" fillId="0" borderId="118" xfId="0" applyNumberFormat="1" applyFont="1" applyBorder="1" applyAlignment="1">
      <alignment horizontal="center"/>
    </xf>
    <xf numFmtId="3" fontId="129" fillId="0" borderId="118" xfId="0" applyNumberFormat="1" applyFont="1" applyFill="1" applyBorder="1" applyAlignment="1">
      <alignment horizontal="center"/>
    </xf>
    <xf numFmtId="0" fontId="130" fillId="0" borderId="135" xfId="0" applyFont="1" applyFill="1" applyBorder="1" applyAlignment="1">
      <alignment horizontal="left"/>
    </xf>
    <xf numFmtId="0" fontId="130" fillId="46" borderId="135" xfId="0" applyFont="1" applyFill="1" applyBorder="1" applyAlignment="1">
      <alignment/>
    </xf>
    <xf numFmtId="3" fontId="125" fillId="46" borderId="128" xfId="0" applyNumberFormat="1" applyFont="1" applyFill="1" applyBorder="1" applyAlignment="1">
      <alignment horizontal="center"/>
    </xf>
    <xf numFmtId="168" fontId="129" fillId="46" borderId="118" xfId="0" applyNumberFormat="1" applyFont="1" applyFill="1" applyBorder="1" applyAlignment="1">
      <alignment horizontal="center"/>
    </xf>
    <xf numFmtId="3" fontId="129" fillId="46" borderId="118" xfId="0" applyNumberFormat="1" applyFont="1" applyFill="1" applyBorder="1" applyAlignment="1">
      <alignment horizontal="center"/>
    </xf>
    <xf numFmtId="0" fontId="130" fillId="46" borderId="135" xfId="0" applyFont="1" applyFill="1" applyBorder="1" applyAlignment="1">
      <alignment horizontal="left"/>
    </xf>
    <xf numFmtId="0" fontId="43" fillId="46" borderId="135" xfId="0" applyFont="1" applyFill="1" applyBorder="1" applyAlignment="1">
      <alignment/>
    </xf>
    <xf numFmtId="3" fontId="13" fillId="46" borderId="128" xfId="0" applyNumberFormat="1" applyFont="1" applyFill="1" applyBorder="1" applyAlignment="1">
      <alignment horizontal="center"/>
    </xf>
    <xf numFmtId="168" fontId="118" fillId="46" borderId="118" xfId="0" applyNumberFormat="1" applyFont="1" applyFill="1" applyBorder="1" applyAlignment="1">
      <alignment horizontal="center"/>
    </xf>
    <xf numFmtId="0" fontId="12" fillId="46" borderId="135" xfId="0" applyFont="1" applyFill="1" applyBorder="1" applyAlignment="1">
      <alignment/>
    </xf>
    <xf numFmtId="0" fontId="43" fillId="46" borderId="135" xfId="0" applyFont="1" applyFill="1" applyBorder="1" applyAlignment="1">
      <alignment horizontal="left"/>
    </xf>
    <xf numFmtId="0" fontId="43" fillId="46" borderId="135" xfId="0" applyFont="1" applyFill="1" applyBorder="1" applyAlignment="1">
      <alignment horizontal="left"/>
    </xf>
    <xf numFmtId="0" fontId="130" fillId="41" borderId="136" xfId="0" applyFont="1" applyFill="1" applyBorder="1" applyAlignment="1">
      <alignment horizontal="left"/>
    </xf>
    <xf numFmtId="0" fontId="130" fillId="0" borderId="135" xfId="0" applyFont="1" applyFill="1" applyBorder="1" applyAlignment="1">
      <alignment horizontal="left"/>
    </xf>
    <xf numFmtId="3" fontId="131" fillId="0" borderId="118" xfId="0" applyNumberFormat="1" applyFont="1" applyBorder="1" applyAlignment="1">
      <alignment horizontal="center"/>
    </xf>
    <xf numFmtId="3" fontId="131" fillId="46" borderId="118" xfId="0" applyNumberFormat="1" applyFont="1" applyFill="1" applyBorder="1" applyAlignment="1">
      <alignment horizontal="center"/>
    </xf>
    <xf numFmtId="3" fontId="129" fillId="0" borderId="118" xfId="0" applyNumberFormat="1" applyFont="1" applyBorder="1" applyAlignment="1">
      <alignment horizontal="center"/>
    </xf>
    <xf numFmtId="168" fontId="4" fillId="0" borderId="131" xfId="0" applyNumberFormat="1" applyFont="1" applyFill="1" applyBorder="1" applyAlignment="1">
      <alignment horizontal="center"/>
    </xf>
    <xf numFmtId="168" fontId="4" fillId="0" borderId="0" xfId="0" applyNumberFormat="1" applyFont="1" applyBorder="1" applyAlignment="1">
      <alignment/>
    </xf>
    <xf numFmtId="168" fontId="16" fillId="0" borderId="38" xfId="0" applyNumberFormat="1" applyFont="1" applyBorder="1" applyAlignment="1">
      <alignment horizontal="center"/>
    </xf>
    <xf numFmtId="49" fontId="16" fillId="0" borderId="68" xfId="0" applyNumberFormat="1" applyFont="1" applyBorder="1" applyAlignment="1">
      <alignment horizontal="center"/>
    </xf>
    <xf numFmtId="168" fontId="4" fillId="0" borderId="122" xfId="49" applyNumberFormat="1" applyFont="1" applyBorder="1" applyAlignment="1">
      <alignment horizontal="center"/>
    </xf>
    <xf numFmtId="168" fontId="4" fillId="0" borderId="117" xfId="49" applyNumberFormat="1" applyFont="1" applyBorder="1" applyAlignment="1">
      <alignment horizontal="center"/>
    </xf>
    <xf numFmtId="168" fontId="4" fillId="0" borderId="119" xfId="49" applyNumberFormat="1" applyFont="1" applyBorder="1" applyAlignment="1">
      <alignment horizontal="center"/>
    </xf>
    <xf numFmtId="168" fontId="4" fillId="0" borderId="121" xfId="49" applyNumberFormat="1" applyFont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8" fontId="4" fillId="0" borderId="132" xfId="49" applyNumberFormat="1" applyFont="1" applyBorder="1" applyAlignment="1">
      <alignment horizontal="center"/>
    </xf>
    <xf numFmtId="168" fontId="126" fillId="43" borderId="119" xfId="49" applyNumberFormat="1" applyFont="1" applyFill="1" applyBorder="1" applyAlignment="1">
      <alignment horizontal="center"/>
    </xf>
    <xf numFmtId="168" fontId="129" fillId="46" borderId="119" xfId="49" applyNumberFormat="1" applyFont="1" applyFill="1" applyBorder="1" applyAlignment="1">
      <alignment horizontal="center"/>
    </xf>
    <xf numFmtId="168" fontId="4" fillId="46" borderId="119" xfId="49" applyNumberFormat="1" applyFont="1" applyFill="1" applyBorder="1" applyAlignment="1">
      <alignment horizontal="center"/>
    </xf>
    <xf numFmtId="168" fontId="11" fillId="0" borderId="0" xfId="0" applyNumberFormat="1" applyFont="1" applyBorder="1" applyAlignment="1">
      <alignment horizontal="right"/>
    </xf>
    <xf numFmtId="168" fontId="16" fillId="7" borderId="111" xfId="0" applyNumberFormat="1" applyFont="1" applyFill="1" applyBorder="1" applyAlignment="1">
      <alignment horizontal="center"/>
    </xf>
    <xf numFmtId="168" fontId="4" fillId="0" borderId="0" xfId="0" applyNumberFormat="1" applyFont="1" applyAlignment="1">
      <alignment/>
    </xf>
    <xf numFmtId="168" fontId="126" fillId="44" borderId="121" xfId="49" applyNumberFormat="1" applyFont="1" applyFill="1" applyBorder="1" applyAlignment="1">
      <alignment horizontal="center"/>
    </xf>
    <xf numFmtId="168" fontId="126" fillId="43" borderId="121" xfId="49" applyNumberFormat="1" applyFont="1" applyFill="1" applyBorder="1" applyAlignment="1">
      <alignment horizontal="center"/>
    </xf>
    <xf numFmtId="168" fontId="4" fillId="0" borderId="140" xfId="49" applyNumberFormat="1" applyFont="1" applyBorder="1" applyAlignment="1">
      <alignment horizontal="center"/>
    </xf>
    <xf numFmtId="168" fontId="4" fillId="0" borderId="119" xfId="49" applyNumberFormat="1" applyFont="1" applyFill="1" applyBorder="1" applyAlignment="1">
      <alignment horizontal="center"/>
    </xf>
    <xf numFmtId="168" fontId="126" fillId="44" borderId="119" xfId="49" applyNumberFormat="1" applyFont="1" applyFill="1" applyBorder="1" applyAlignment="1">
      <alignment horizontal="center"/>
    </xf>
    <xf numFmtId="168" fontId="4" fillId="46" borderId="132" xfId="49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 horizontal="right"/>
    </xf>
    <xf numFmtId="168" fontId="129" fillId="0" borderId="118" xfId="0" applyNumberFormat="1" applyFont="1" applyFill="1" applyBorder="1" applyAlignment="1">
      <alignment horizontal="center"/>
    </xf>
    <xf numFmtId="3" fontId="131" fillId="0" borderId="118" xfId="0" applyNumberFormat="1" applyFont="1" applyFill="1" applyBorder="1" applyAlignment="1">
      <alignment horizontal="center"/>
    </xf>
    <xf numFmtId="168" fontId="118" fillId="0" borderId="118" xfId="0" applyNumberFormat="1" applyFont="1" applyFill="1" applyBorder="1" applyAlignment="1">
      <alignment horizontal="center"/>
    </xf>
    <xf numFmtId="168" fontId="129" fillId="0" borderId="119" xfId="49" applyNumberFormat="1" applyFont="1" applyFill="1" applyBorder="1" applyAlignment="1">
      <alignment horizontal="center"/>
    </xf>
    <xf numFmtId="3" fontId="132" fillId="46" borderId="128" xfId="0" applyNumberFormat="1" applyFont="1" applyFill="1" applyBorder="1" applyAlignment="1">
      <alignment horizontal="center"/>
    </xf>
    <xf numFmtId="0" fontId="133" fillId="46" borderId="135" xfId="0" applyFont="1" applyFill="1" applyBorder="1" applyAlignment="1">
      <alignment horizontal="left"/>
    </xf>
    <xf numFmtId="168" fontId="116" fillId="46" borderId="118" xfId="0" applyNumberFormat="1" applyFont="1" applyFill="1" applyBorder="1" applyAlignment="1">
      <alignment horizontal="center"/>
    </xf>
    <xf numFmtId="3" fontId="134" fillId="46" borderId="118" xfId="0" applyNumberFormat="1" applyFont="1" applyFill="1" applyBorder="1" applyAlignment="1">
      <alignment horizontal="center"/>
    </xf>
    <xf numFmtId="168" fontId="116" fillId="46" borderId="119" xfId="49" applyNumberFormat="1" applyFont="1" applyFill="1" applyBorder="1" applyAlignment="1">
      <alignment horizontal="center"/>
    </xf>
    <xf numFmtId="168" fontId="4" fillId="0" borderId="143" xfId="49" applyNumberFormat="1" applyFont="1" applyBorder="1" applyAlignment="1">
      <alignment horizontal="center"/>
    </xf>
    <xf numFmtId="168" fontId="4" fillId="0" borderId="119" xfId="0" applyNumberFormat="1" applyFont="1" applyBorder="1" applyAlignment="1">
      <alignment horizontal="center"/>
    </xf>
    <xf numFmtId="168" fontId="4" fillId="0" borderId="140" xfId="0" applyNumberFormat="1" applyFont="1" applyBorder="1" applyAlignment="1">
      <alignment horizontal="center"/>
    </xf>
    <xf numFmtId="168" fontId="126" fillId="44" borderId="119" xfId="0" applyNumberFormat="1" applyFont="1" applyFill="1" applyBorder="1" applyAlignment="1">
      <alignment horizontal="center"/>
    </xf>
    <xf numFmtId="9" fontId="25" fillId="0" borderId="123" xfId="0" applyNumberFormat="1" applyFont="1" applyBorder="1" applyAlignment="1">
      <alignment/>
    </xf>
    <xf numFmtId="9" fontId="25" fillId="0" borderId="113" xfId="0" applyNumberFormat="1" applyFont="1" applyBorder="1" applyAlignment="1">
      <alignment/>
    </xf>
    <xf numFmtId="3" fontId="132" fillId="0" borderId="128" xfId="0" applyNumberFormat="1" applyFont="1" applyBorder="1" applyAlignment="1">
      <alignment horizontal="center"/>
    </xf>
    <xf numFmtId="0" fontId="133" fillId="0" borderId="135" xfId="0" applyFont="1" applyFill="1" applyBorder="1" applyAlignment="1">
      <alignment/>
    </xf>
    <xf numFmtId="168" fontId="116" fillId="0" borderId="118" xfId="0" applyNumberFormat="1" applyFont="1" applyFill="1" applyBorder="1" applyAlignment="1">
      <alignment horizontal="center"/>
    </xf>
    <xf numFmtId="168" fontId="116" fillId="0" borderId="119" xfId="49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9" fontId="1" fillId="0" borderId="0" xfId="49" applyFont="1" applyFill="1" applyBorder="1" applyAlignment="1">
      <alignment horizontal="left"/>
    </xf>
    <xf numFmtId="168" fontId="0" fillId="0" borderId="0" xfId="0" applyNumberFormat="1" applyFont="1" applyAlignment="1">
      <alignment/>
    </xf>
    <xf numFmtId="0" fontId="3" fillId="0" borderId="134" xfId="0" applyFont="1" applyBorder="1" applyAlignment="1">
      <alignment horizontal="left"/>
    </xf>
    <xf numFmtId="0" fontId="3" fillId="0" borderId="135" xfId="0" applyFont="1" applyBorder="1" applyAlignment="1">
      <alignment horizontal="left"/>
    </xf>
    <xf numFmtId="0" fontId="133" fillId="0" borderId="135" xfId="0" applyFont="1" applyFill="1" applyBorder="1" applyAlignment="1">
      <alignment horizontal="left"/>
    </xf>
    <xf numFmtId="169" fontId="4" fillId="0" borderId="0" xfId="49" applyNumberFormat="1" applyFont="1" applyFill="1" applyBorder="1" applyAlignment="1">
      <alignment horizontal="left"/>
    </xf>
    <xf numFmtId="168" fontId="25" fillId="0" borderId="114" xfId="0" applyNumberFormat="1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5" fillId="42" borderId="0" xfId="0" applyFont="1" applyFill="1" applyAlignment="1">
      <alignment/>
    </xf>
    <xf numFmtId="168" fontId="25" fillId="0" borderId="0" xfId="0" applyNumberFormat="1" applyFont="1" applyAlignment="1">
      <alignment/>
    </xf>
    <xf numFmtId="0" fontId="24" fillId="0" borderId="144" xfId="0" applyFont="1" applyFill="1" applyBorder="1" applyAlignment="1">
      <alignment/>
    </xf>
    <xf numFmtId="0" fontId="24" fillId="0" borderId="131" xfId="0" applyFont="1" applyFill="1" applyBorder="1" applyAlignment="1">
      <alignment/>
    </xf>
    <xf numFmtId="168" fontId="24" fillId="0" borderId="131" xfId="0" applyNumberFormat="1" applyFont="1" applyFill="1" applyBorder="1" applyAlignment="1">
      <alignment/>
    </xf>
    <xf numFmtId="0" fontId="24" fillId="0" borderId="131" xfId="0" applyFont="1" applyFill="1" applyBorder="1" applyAlignment="1">
      <alignment horizontal="right"/>
    </xf>
    <xf numFmtId="168" fontId="24" fillId="0" borderId="131" xfId="0" applyNumberFormat="1" applyFont="1" applyFill="1" applyBorder="1" applyAlignment="1">
      <alignment horizontal="right"/>
    </xf>
    <xf numFmtId="168" fontId="4" fillId="0" borderId="131" xfId="0" applyNumberFormat="1" applyFont="1" applyFill="1" applyBorder="1" applyAlignment="1">
      <alignment horizontal="right"/>
    </xf>
    <xf numFmtId="0" fontId="0" fillId="0" borderId="131" xfId="0" applyFill="1" applyBorder="1" applyAlignment="1">
      <alignment/>
    </xf>
    <xf numFmtId="0" fontId="24" fillId="0" borderId="132" xfId="0" applyFont="1" applyFill="1" applyBorder="1" applyAlignment="1">
      <alignment/>
    </xf>
    <xf numFmtId="0" fontId="24" fillId="0" borderId="145" xfId="0" applyFont="1" applyFill="1" applyBorder="1" applyAlignment="1">
      <alignment/>
    </xf>
    <xf numFmtId="0" fontId="24" fillId="0" borderId="118" xfId="0" applyFont="1" applyFill="1" applyBorder="1" applyAlignment="1">
      <alignment/>
    </xf>
    <xf numFmtId="3" fontId="4" fillId="0" borderId="118" xfId="0" applyNumberFormat="1" applyFont="1" applyFill="1" applyBorder="1" applyAlignment="1">
      <alignment/>
    </xf>
    <xf numFmtId="168" fontId="4" fillId="0" borderId="118" xfId="0" applyNumberFormat="1" applyFont="1" applyFill="1" applyBorder="1" applyAlignment="1">
      <alignment/>
    </xf>
    <xf numFmtId="0" fontId="0" fillId="0" borderId="118" xfId="0" applyFont="1" applyFill="1" applyBorder="1" applyAlignment="1">
      <alignment/>
    </xf>
    <xf numFmtId="169" fontId="4" fillId="0" borderId="119" xfId="49" applyNumberFormat="1" applyFont="1" applyFill="1" applyBorder="1" applyAlignment="1">
      <alignment horizontal="left"/>
    </xf>
    <xf numFmtId="0" fontId="24" fillId="0" borderId="145" xfId="0" applyFont="1" applyBorder="1" applyAlignment="1">
      <alignment/>
    </xf>
    <xf numFmtId="0" fontId="24" fillId="0" borderId="118" xfId="0" applyFont="1" applyBorder="1" applyAlignment="1">
      <alignment/>
    </xf>
    <xf numFmtId="3" fontId="4" fillId="0" borderId="118" xfId="0" applyNumberFormat="1" applyFont="1" applyBorder="1" applyAlignment="1">
      <alignment/>
    </xf>
    <xf numFmtId="168" fontId="4" fillId="0" borderId="118" xfId="0" applyNumberFormat="1" applyFont="1" applyBorder="1" applyAlignment="1">
      <alignment/>
    </xf>
    <xf numFmtId="0" fontId="0" fillId="0" borderId="118" xfId="0" applyFont="1" applyBorder="1" applyAlignment="1">
      <alignment/>
    </xf>
    <xf numFmtId="0" fontId="0" fillId="0" borderId="145" xfId="0" applyBorder="1" applyAlignment="1">
      <alignment/>
    </xf>
    <xf numFmtId="0" fontId="0" fillId="0" borderId="118" xfId="0" applyBorder="1" applyAlignment="1">
      <alignment/>
    </xf>
    <xf numFmtId="168" fontId="0" fillId="0" borderId="118" xfId="0" applyNumberFormat="1" applyBorder="1" applyAlignment="1">
      <alignment/>
    </xf>
    <xf numFmtId="0" fontId="25" fillId="0" borderId="119" xfId="0" applyFont="1" applyBorder="1" applyAlignment="1">
      <alignment/>
    </xf>
    <xf numFmtId="0" fontId="24" fillId="0" borderId="146" xfId="0" applyFont="1" applyFill="1" applyBorder="1" applyAlignment="1">
      <alignment/>
    </xf>
    <xf numFmtId="0" fontId="0" fillId="0" borderId="120" xfId="0" applyBorder="1" applyAlignment="1">
      <alignment/>
    </xf>
    <xf numFmtId="168" fontId="4" fillId="0" borderId="120" xfId="0" applyNumberFormat="1" applyFont="1" applyBorder="1" applyAlignment="1">
      <alignment/>
    </xf>
    <xf numFmtId="168" fontId="0" fillId="0" borderId="120" xfId="0" applyNumberFormat="1" applyBorder="1" applyAlignment="1">
      <alignment/>
    </xf>
    <xf numFmtId="0" fontId="25" fillId="0" borderId="121" xfId="0" applyFont="1" applyBorder="1" applyAlignment="1">
      <alignment/>
    </xf>
    <xf numFmtId="0" fontId="130" fillId="41" borderId="147" xfId="0" applyFont="1" applyFill="1" applyBorder="1" applyAlignment="1">
      <alignment horizontal="left"/>
    </xf>
    <xf numFmtId="3" fontId="13" fillId="41" borderId="148" xfId="0" applyNumberFormat="1" applyFont="1" applyFill="1" applyBorder="1" applyAlignment="1">
      <alignment horizontal="center"/>
    </xf>
    <xf numFmtId="168" fontId="4" fillId="0" borderId="141" xfId="0" applyNumberFormat="1" applyFont="1" applyFill="1" applyBorder="1" applyAlignment="1">
      <alignment horizontal="center"/>
    </xf>
    <xf numFmtId="3" fontId="4" fillId="0" borderId="141" xfId="0" applyNumberFormat="1" applyFont="1" applyFill="1" applyBorder="1" applyAlignment="1">
      <alignment horizontal="center"/>
    </xf>
    <xf numFmtId="168" fontId="4" fillId="0" borderId="149" xfId="49" applyNumberFormat="1" applyFont="1" applyBorder="1" applyAlignment="1">
      <alignment horizontal="center"/>
    </xf>
    <xf numFmtId="3" fontId="13" fillId="0" borderId="66" xfId="0" applyNumberFormat="1" applyFont="1" applyFill="1" applyBorder="1" applyAlignment="1">
      <alignment horizontal="right"/>
    </xf>
    <xf numFmtId="3" fontId="13" fillId="0" borderId="35" xfId="0" applyNumberFormat="1" applyFont="1" applyFill="1" applyBorder="1" applyAlignment="1">
      <alignment horizontal="right"/>
    </xf>
    <xf numFmtId="0" fontId="26" fillId="0" borderId="66" xfId="0" applyFont="1" applyBorder="1" applyAlignment="1">
      <alignment/>
    </xf>
    <xf numFmtId="0" fontId="0" fillId="0" borderId="66" xfId="0" applyFont="1" applyBorder="1" applyAlignment="1">
      <alignment/>
    </xf>
    <xf numFmtId="0" fontId="25" fillId="0" borderId="67" xfId="0" applyFont="1" applyBorder="1" applyAlignment="1">
      <alignment/>
    </xf>
    <xf numFmtId="0" fontId="25" fillId="0" borderId="116" xfId="0" applyFont="1" applyBorder="1" applyAlignment="1">
      <alignment/>
    </xf>
    <xf numFmtId="0" fontId="135" fillId="0" borderId="135" xfId="0" applyFont="1" applyFill="1" applyBorder="1" applyAlignment="1">
      <alignment horizontal="left"/>
    </xf>
    <xf numFmtId="3" fontId="132" fillId="0" borderId="148" xfId="0" applyNumberFormat="1" applyFont="1" applyFill="1" applyBorder="1" applyAlignment="1">
      <alignment horizontal="center" vertical="center"/>
    </xf>
    <xf numFmtId="0" fontId="136" fillId="0" borderId="147" xfId="0" applyFont="1" applyFill="1" applyBorder="1" applyAlignment="1">
      <alignment horizontal="left"/>
    </xf>
    <xf numFmtId="168" fontId="137" fillId="0" borderId="141" xfId="0" applyNumberFormat="1" applyFont="1" applyBorder="1" applyAlignment="1">
      <alignment horizontal="center"/>
    </xf>
    <xf numFmtId="3" fontId="132" fillId="0" borderId="141" xfId="0" applyNumberFormat="1" applyFont="1" applyBorder="1" applyAlignment="1">
      <alignment horizontal="center"/>
    </xf>
    <xf numFmtId="168" fontId="137" fillId="0" borderId="149" xfId="49" applyNumberFormat="1" applyFont="1" applyBorder="1" applyAlignment="1">
      <alignment horizontal="center"/>
    </xf>
    <xf numFmtId="3" fontId="11" fillId="0" borderId="67" xfId="0" applyNumberFormat="1" applyFont="1" applyBorder="1" applyAlignment="1">
      <alignment/>
    </xf>
    <xf numFmtId="0" fontId="50" fillId="0" borderId="145" xfId="0" applyFont="1" applyFill="1" applyBorder="1" applyAlignment="1">
      <alignment/>
    </xf>
    <xf numFmtId="0" fontId="50" fillId="0" borderId="118" xfId="0" applyFont="1" applyFill="1" applyBorder="1" applyAlignment="1">
      <alignment/>
    </xf>
    <xf numFmtId="3" fontId="16" fillId="0" borderId="118" xfId="0" applyNumberFormat="1" applyFont="1" applyFill="1" applyBorder="1" applyAlignment="1">
      <alignment/>
    </xf>
    <xf numFmtId="168" fontId="16" fillId="0" borderId="118" xfId="0" applyNumberFormat="1" applyFont="1" applyFill="1" applyBorder="1" applyAlignment="1">
      <alignment/>
    </xf>
    <xf numFmtId="0" fontId="51" fillId="0" borderId="118" xfId="0" applyFont="1" applyFill="1" applyBorder="1" applyAlignment="1">
      <alignment/>
    </xf>
    <xf numFmtId="169" fontId="16" fillId="0" borderId="119" xfId="49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7" xfId="0" applyFont="1" applyFill="1" applyBorder="1" applyAlignment="1">
      <alignment horizontal="left"/>
    </xf>
    <xf numFmtId="170" fontId="3" fillId="0" borderId="17" xfId="0" applyNumberFormat="1" applyFont="1" applyFill="1" applyBorder="1" applyAlignment="1">
      <alignment horizontal="right" wrapText="1"/>
    </xf>
    <xf numFmtId="170" fontId="16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 wrapText="1"/>
    </xf>
    <xf numFmtId="170" fontId="4" fillId="0" borderId="17" xfId="0" applyNumberFormat="1" applyFont="1" applyFill="1" applyBorder="1" applyAlignment="1">
      <alignment horizontal="right" wrapText="1"/>
    </xf>
    <xf numFmtId="170" fontId="4" fillId="0" borderId="17" xfId="0" applyNumberFormat="1" applyFont="1" applyFill="1" applyBorder="1" applyAlignment="1">
      <alignment/>
    </xf>
    <xf numFmtId="0" fontId="16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left"/>
    </xf>
    <xf numFmtId="0" fontId="126" fillId="0" borderId="17" xfId="0" applyFont="1" applyFill="1" applyBorder="1" applyAlignment="1">
      <alignment/>
    </xf>
    <xf numFmtId="0" fontId="16" fillId="0" borderId="17" xfId="0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170" fontId="16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170" fontId="4" fillId="0" borderId="0" xfId="0" applyNumberFormat="1" applyFont="1" applyFill="1" applyBorder="1" applyAlignment="1">
      <alignment horizontal="right"/>
    </xf>
    <xf numFmtId="170" fontId="16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3" fontId="16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26" fillId="0" borderId="0" xfId="0" applyFont="1" applyFill="1" applyBorder="1" applyAlignment="1">
      <alignment/>
    </xf>
    <xf numFmtId="0" fontId="129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170" fontId="31" fillId="0" borderId="0" xfId="0" applyNumberFormat="1" applyFont="1" applyFill="1" applyAlignment="1">
      <alignment horizontal="left" wrapText="1"/>
    </xf>
    <xf numFmtId="0" fontId="1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9" fillId="0" borderId="147" xfId="0" applyFont="1" applyFill="1" applyBorder="1" applyAlignment="1">
      <alignment horizontal="left"/>
    </xf>
    <xf numFmtId="168" fontId="40" fillId="0" borderId="38" xfId="0" applyNumberFormat="1" applyFont="1" applyBorder="1" applyAlignment="1">
      <alignment horizontal="center" wrapText="1"/>
    </xf>
    <xf numFmtId="0" fontId="2" fillId="42" borderId="0" xfId="0" applyFont="1" applyFill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8" fontId="4" fillId="0" borderId="117" xfId="49" applyNumberFormat="1" applyFont="1" applyBorder="1" applyAlignment="1">
      <alignment horizontal="right"/>
    </xf>
    <xf numFmtId="168" fontId="4" fillId="0" borderId="119" xfId="0" applyNumberFormat="1" applyFont="1" applyBorder="1" applyAlignment="1">
      <alignment horizontal="right"/>
    </xf>
    <xf numFmtId="168" fontId="4" fillId="0" borderId="140" xfId="0" applyNumberFormat="1" applyFont="1" applyBorder="1" applyAlignment="1">
      <alignment horizontal="right"/>
    </xf>
    <xf numFmtId="168" fontId="4" fillId="0" borderId="119" xfId="49" applyNumberFormat="1" applyFont="1" applyBorder="1" applyAlignment="1">
      <alignment horizontal="right"/>
    </xf>
    <xf numFmtId="168" fontId="116" fillId="0" borderId="119" xfId="49" applyNumberFormat="1" applyFont="1" applyBorder="1" applyAlignment="1">
      <alignment horizontal="right"/>
    </xf>
    <xf numFmtId="168" fontId="126" fillId="44" borderId="119" xfId="0" applyNumberFormat="1" applyFont="1" applyFill="1" applyBorder="1" applyAlignment="1">
      <alignment horizontal="right"/>
    </xf>
    <xf numFmtId="168" fontId="137" fillId="0" borderId="149" xfId="49" applyNumberFormat="1" applyFont="1" applyBorder="1" applyAlignment="1">
      <alignment horizontal="right"/>
    </xf>
    <xf numFmtId="168" fontId="4" fillId="0" borderId="121" xfId="49" applyNumberFormat="1" applyFont="1" applyBorder="1" applyAlignment="1">
      <alignment horizontal="right"/>
    </xf>
    <xf numFmtId="168" fontId="11" fillId="0" borderId="12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8" fontId="4" fillId="0" borderId="132" xfId="49" applyNumberFormat="1" applyFont="1" applyBorder="1" applyAlignment="1">
      <alignment horizontal="right"/>
    </xf>
    <xf numFmtId="168" fontId="126" fillId="43" borderId="119" xfId="49" applyNumberFormat="1" applyFont="1" applyFill="1" applyBorder="1" applyAlignment="1">
      <alignment horizontal="right"/>
    </xf>
    <xf numFmtId="168" fontId="129" fillId="46" borderId="119" xfId="49" applyNumberFormat="1" applyFont="1" applyFill="1" applyBorder="1" applyAlignment="1">
      <alignment horizontal="right"/>
    </xf>
    <xf numFmtId="168" fontId="129" fillId="0" borderId="119" xfId="49" applyNumberFormat="1" applyFont="1" applyFill="1" applyBorder="1" applyAlignment="1">
      <alignment horizontal="right"/>
    </xf>
    <xf numFmtId="168" fontId="4" fillId="0" borderId="119" xfId="49" applyNumberFormat="1" applyFont="1" applyFill="1" applyBorder="1" applyAlignment="1">
      <alignment horizontal="right"/>
    </xf>
    <xf numFmtId="168" fontId="4" fillId="46" borderId="119" xfId="49" applyNumberFormat="1" applyFont="1" applyFill="1" applyBorder="1" applyAlignment="1">
      <alignment horizontal="right"/>
    </xf>
    <xf numFmtId="168" fontId="116" fillId="46" borderId="119" xfId="49" applyNumberFormat="1" applyFont="1" applyFill="1" applyBorder="1" applyAlignment="1">
      <alignment horizontal="right"/>
    </xf>
    <xf numFmtId="168" fontId="4" fillId="0" borderId="149" xfId="49" applyNumberFormat="1" applyFont="1" applyBorder="1" applyAlignment="1">
      <alignment horizontal="right"/>
    </xf>
    <xf numFmtId="168" fontId="11" fillId="0" borderId="19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16" fillId="7" borderId="111" xfId="0" applyNumberFormat="1" applyFont="1" applyFill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8" fontId="126" fillId="44" borderId="121" xfId="49" applyNumberFormat="1" applyFont="1" applyFill="1" applyBorder="1" applyAlignment="1">
      <alignment horizontal="right"/>
    </xf>
    <xf numFmtId="168" fontId="11" fillId="0" borderId="67" xfId="0" applyNumberFormat="1" applyFont="1" applyBorder="1" applyAlignment="1">
      <alignment horizontal="right"/>
    </xf>
    <xf numFmtId="168" fontId="126" fillId="43" borderId="121" xfId="49" applyNumberFormat="1" applyFont="1" applyFill="1" applyBorder="1" applyAlignment="1">
      <alignment horizontal="right"/>
    </xf>
    <xf numFmtId="168" fontId="4" fillId="0" borderId="140" xfId="49" applyNumberFormat="1" applyFont="1" applyBorder="1" applyAlignment="1">
      <alignment horizontal="right"/>
    </xf>
    <xf numFmtId="168" fontId="11" fillId="0" borderId="23" xfId="0" applyNumberFormat="1" applyFont="1" applyBorder="1" applyAlignment="1">
      <alignment horizontal="right"/>
    </xf>
    <xf numFmtId="168" fontId="126" fillId="44" borderId="119" xfId="49" applyNumberFormat="1" applyFont="1" applyFill="1" applyBorder="1" applyAlignment="1">
      <alignment horizontal="right"/>
    </xf>
    <xf numFmtId="168" fontId="4" fillId="46" borderId="132" xfId="49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8" fontId="40" fillId="7" borderId="111" xfId="0" applyNumberFormat="1" applyFont="1" applyFill="1" applyBorder="1" applyAlignment="1">
      <alignment horizontal="right"/>
    </xf>
    <xf numFmtId="3" fontId="4" fillId="0" borderId="118" xfId="0" applyNumberFormat="1" applyFont="1" applyFill="1" applyBorder="1" applyAlignment="1">
      <alignment horizontal="right"/>
    </xf>
    <xf numFmtId="168" fontId="4" fillId="0" borderId="118" xfId="0" applyNumberFormat="1" applyFont="1" applyFill="1" applyBorder="1" applyAlignment="1">
      <alignment horizontal="right"/>
    </xf>
    <xf numFmtId="168" fontId="16" fillId="0" borderId="118" xfId="0" applyNumberFormat="1" applyFont="1" applyFill="1" applyBorder="1" applyAlignment="1">
      <alignment horizontal="right"/>
    </xf>
    <xf numFmtId="3" fontId="4" fillId="0" borderId="118" xfId="0" applyNumberFormat="1" applyFont="1" applyBorder="1" applyAlignment="1">
      <alignment horizontal="right"/>
    </xf>
    <xf numFmtId="168" fontId="4" fillId="0" borderId="118" xfId="0" applyNumberFormat="1" applyFont="1" applyBorder="1" applyAlignment="1">
      <alignment horizontal="right"/>
    </xf>
    <xf numFmtId="168" fontId="4" fillId="0" borderId="120" xfId="0" applyNumberFormat="1" applyFont="1" applyBorder="1" applyAlignment="1">
      <alignment horizontal="right"/>
    </xf>
    <xf numFmtId="0" fontId="6" fillId="0" borderId="38" xfId="0" applyFont="1" applyBorder="1" applyAlignment="1">
      <alignment horizontal="center" wrapText="1"/>
    </xf>
    <xf numFmtId="0" fontId="6" fillId="0" borderId="68" xfId="0" applyFont="1" applyBorder="1" applyAlignment="1">
      <alignment horizontal="center"/>
    </xf>
    <xf numFmtId="168" fontId="11" fillId="0" borderId="149" xfId="49" applyNumberFormat="1" applyFont="1" applyBorder="1" applyAlignment="1">
      <alignment horizontal="right"/>
    </xf>
    <xf numFmtId="0" fontId="48" fillId="0" borderId="147" xfId="0" applyFont="1" applyFill="1" applyBorder="1" applyAlignment="1">
      <alignment horizontal="left"/>
    </xf>
    <xf numFmtId="3" fontId="3" fillId="0" borderId="128" xfId="0" applyNumberFormat="1" applyFont="1" applyFill="1" applyBorder="1" applyAlignment="1">
      <alignment horizontal="center"/>
    </xf>
    <xf numFmtId="3" fontId="3" fillId="0" borderId="128" xfId="0" applyNumberFormat="1" applyFont="1" applyFill="1" applyBorder="1" applyAlignment="1">
      <alignment horizontal="center" vertical="center"/>
    </xf>
    <xf numFmtId="9" fontId="4" fillId="0" borderId="117" xfId="49" applyFont="1" applyBorder="1" applyAlignment="1">
      <alignment horizontal="right"/>
    </xf>
    <xf numFmtId="9" fontId="4" fillId="0" borderId="119" xfId="49" applyFont="1" applyBorder="1" applyAlignment="1">
      <alignment horizontal="right"/>
    </xf>
    <xf numFmtId="9" fontId="4" fillId="0" borderId="150" xfId="49" applyFont="1" applyBorder="1" applyAlignment="1">
      <alignment horizontal="right"/>
    </xf>
    <xf numFmtId="0" fontId="0" fillId="0" borderId="61" xfId="0" applyFont="1" applyBorder="1" applyAlignment="1">
      <alignment/>
    </xf>
    <xf numFmtId="0" fontId="9" fillId="0" borderId="61" xfId="0" applyFont="1" applyBorder="1" applyAlignment="1">
      <alignment/>
    </xf>
    <xf numFmtId="3" fontId="25" fillId="0" borderId="150" xfId="0" applyNumberFormat="1" applyFont="1" applyBorder="1" applyAlignment="1">
      <alignment/>
    </xf>
    <xf numFmtId="9" fontId="4" fillId="0" borderId="132" xfId="49" applyFont="1" applyBorder="1" applyAlignment="1">
      <alignment horizontal="right"/>
    </xf>
    <xf numFmtId="9" fontId="4" fillId="43" borderId="119" xfId="49" applyFont="1" applyFill="1" applyBorder="1" applyAlignment="1">
      <alignment horizontal="right"/>
    </xf>
    <xf numFmtId="9" fontId="4" fillId="46" borderId="119" xfId="49" applyFont="1" applyFill="1" applyBorder="1" applyAlignment="1">
      <alignment horizontal="right"/>
    </xf>
    <xf numFmtId="9" fontId="4" fillId="46" borderId="112" xfId="49" applyFont="1" applyFill="1" applyBorder="1" applyAlignment="1">
      <alignment horizontal="right"/>
    </xf>
    <xf numFmtId="9" fontId="4" fillId="46" borderId="113" xfId="49" applyFont="1" applyFill="1" applyBorder="1" applyAlignment="1">
      <alignment horizontal="right"/>
    </xf>
    <xf numFmtId="9" fontId="4" fillId="43" borderId="114" xfId="49" applyFont="1" applyFill="1" applyBorder="1" applyAlignment="1">
      <alignment horizontal="right"/>
    </xf>
    <xf numFmtId="168" fontId="4" fillId="0" borderId="151" xfId="49" applyNumberFormat="1" applyFont="1" applyBorder="1" applyAlignment="1">
      <alignment horizontal="right"/>
    </xf>
    <xf numFmtId="9" fontId="4" fillId="0" borderId="112" xfId="49" applyFont="1" applyBorder="1" applyAlignment="1">
      <alignment horizontal="right"/>
    </xf>
    <xf numFmtId="9" fontId="4" fillId="0" borderId="113" xfId="49" applyFont="1" applyBorder="1" applyAlignment="1">
      <alignment horizontal="right"/>
    </xf>
    <xf numFmtId="9" fontId="4" fillId="43" borderId="113" xfId="49" applyFont="1" applyFill="1" applyBorder="1" applyAlignment="1">
      <alignment horizontal="right"/>
    </xf>
    <xf numFmtId="168" fontId="4" fillId="0" borderId="113" xfId="49" applyNumberFormat="1" applyFont="1" applyFill="1" applyBorder="1" applyAlignment="1">
      <alignment horizontal="right"/>
    </xf>
    <xf numFmtId="9" fontId="4" fillId="46" borderId="114" xfId="49" applyFont="1" applyFill="1" applyBorder="1" applyAlignment="1">
      <alignment horizontal="right"/>
    </xf>
    <xf numFmtId="9" fontId="1" fillId="0" borderId="123" xfId="49" applyBorder="1" applyAlignment="1">
      <alignment horizontal="right"/>
    </xf>
    <xf numFmtId="9" fontId="4" fillId="0" borderId="114" xfId="49" applyFont="1" applyBorder="1" applyAlignment="1">
      <alignment horizontal="right"/>
    </xf>
    <xf numFmtId="9" fontId="4" fillId="44" borderId="113" xfId="49" applyFont="1" applyFill="1" applyBorder="1" applyAlignment="1">
      <alignment horizontal="right"/>
    </xf>
    <xf numFmtId="9" fontId="4" fillId="44" borderId="119" xfId="49" applyFont="1" applyFill="1" applyBorder="1" applyAlignment="1">
      <alignment horizontal="right"/>
    </xf>
    <xf numFmtId="9" fontId="4" fillId="44" borderId="149" xfId="49" applyFont="1" applyFill="1" applyBorder="1" applyAlignment="1">
      <alignment horizontal="right"/>
    </xf>
    <xf numFmtId="168" fontId="16" fillId="0" borderId="119" xfId="49" applyNumberFormat="1" applyFont="1" applyBorder="1" applyAlignment="1">
      <alignment horizontal="right"/>
    </xf>
    <xf numFmtId="3" fontId="30" fillId="46" borderId="128" xfId="0" applyNumberFormat="1" applyFont="1" applyFill="1" applyBorder="1" applyAlignment="1">
      <alignment horizontal="center"/>
    </xf>
    <xf numFmtId="3" fontId="3" fillId="46" borderId="118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right" wrapText="1"/>
    </xf>
    <xf numFmtId="0" fontId="11" fillId="0" borderId="17" xfId="0" applyFont="1" applyFill="1" applyBorder="1" applyAlignment="1">
      <alignment horizontal="left"/>
    </xf>
    <xf numFmtId="3" fontId="31" fillId="0" borderId="17" xfId="0" applyNumberFormat="1" applyFont="1" applyFill="1" applyBorder="1" applyAlignment="1">
      <alignment horizontal="right"/>
    </xf>
    <xf numFmtId="3" fontId="11" fillId="0" borderId="17" xfId="0" applyNumberFormat="1" applyFont="1" applyFill="1" applyBorder="1" applyAlignment="1">
      <alignment horizontal="right"/>
    </xf>
    <xf numFmtId="0" fontId="43" fillId="5" borderId="135" xfId="0" applyFont="1" applyFill="1" applyBorder="1" applyAlignment="1">
      <alignment horizontal="left"/>
    </xf>
    <xf numFmtId="0" fontId="130" fillId="5" borderId="135" xfId="0" applyFont="1" applyFill="1" applyBorder="1" applyAlignment="1">
      <alignment horizontal="left"/>
    </xf>
    <xf numFmtId="0" fontId="43" fillId="5" borderId="135" xfId="0" applyFont="1" applyFill="1" applyBorder="1" applyAlignment="1">
      <alignment horizontal="left"/>
    </xf>
    <xf numFmtId="0" fontId="43" fillId="13" borderId="135" xfId="0" applyFont="1" applyFill="1" applyBorder="1" applyAlignment="1">
      <alignment horizontal="left"/>
    </xf>
    <xf numFmtId="0" fontId="130" fillId="13" borderId="135" xfId="0" applyFont="1" applyFill="1" applyBorder="1" applyAlignment="1">
      <alignment horizontal="left"/>
    </xf>
    <xf numFmtId="168" fontId="4" fillId="13" borderId="119" xfId="49" applyNumberFormat="1" applyFont="1" applyFill="1" applyBorder="1" applyAlignment="1">
      <alignment horizontal="right"/>
    </xf>
    <xf numFmtId="9" fontId="4" fillId="13" borderId="119" xfId="49" applyFont="1" applyFill="1" applyBorder="1" applyAlignment="1">
      <alignment horizontal="right"/>
    </xf>
    <xf numFmtId="0" fontId="43" fillId="13" borderId="147" xfId="0" applyFont="1" applyFill="1" applyBorder="1" applyAlignment="1">
      <alignment horizontal="left"/>
    </xf>
    <xf numFmtId="3" fontId="3" fillId="13" borderId="148" xfId="0" applyNumberFormat="1" applyFont="1" applyFill="1" applyBorder="1" applyAlignment="1">
      <alignment horizontal="center" vertical="center"/>
    </xf>
    <xf numFmtId="168" fontId="4" fillId="13" borderId="141" xfId="0" applyNumberFormat="1" applyFont="1" applyFill="1" applyBorder="1" applyAlignment="1">
      <alignment horizontal="center"/>
    </xf>
    <xf numFmtId="3" fontId="3" fillId="13" borderId="141" xfId="0" applyNumberFormat="1" applyFont="1" applyFill="1" applyBorder="1" applyAlignment="1">
      <alignment horizontal="center"/>
    </xf>
    <xf numFmtId="168" fontId="4" fillId="13" borderId="149" xfId="49" applyNumberFormat="1" applyFont="1" applyFill="1" applyBorder="1" applyAlignment="1">
      <alignment horizontal="right"/>
    </xf>
    <xf numFmtId="10" fontId="4" fillId="0" borderId="17" xfId="49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23" fillId="3" borderId="135" xfId="0" applyFont="1" applyFill="1" applyBorder="1" applyAlignment="1">
      <alignment horizontal="left"/>
    </xf>
    <xf numFmtId="170" fontId="4" fillId="3" borderId="17" xfId="0" applyNumberFormat="1" applyFont="1" applyFill="1" applyBorder="1" applyAlignment="1">
      <alignment horizontal="right" wrapText="1"/>
    </xf>
    <xf numFmtId="0" fontId="16" fillId="3" borderId="17" xfId="0" applyFont="1" applyFill="1" applyBorder="1" applyAlignment="1">
      <alignment horizontal="left"/>
    </xf>
    <xf numFmtId="3" fontId="4" fillId="3" borderId="17" xfId="0" applyNumberFormat="1" applyFont="1" applyFill="1" applyBorder="1" applyAlignment="1">
      <alignment horizontal="right"/>
    </xf>
    <xf numFmtId="3" fontId="16" fillId="3" borderId="17" xfId="0" applyNumberFormat="1" applyFont="1" applyFill="1" applyBorder="1" applyAlignment="1">
      <alignment horizontal="right"/>
    </xf>
    <xf numFmtId="0" fontId="138" fillId="0" borderId="135" xfId="0" applyFont="1" applyFill="1" applyBorder="1" applyAlignment="1">
      <alignment horizontal="left"/>
    </xf>
    <xf numFmtId="168" fontId="139" fillId="0" borderId="118" xfId="0" applyNumberFormat="1" applyFont="1" applyBorder="1" applyAlignment="1">
      <alignment horizontal="center"/>
    </xf>
    <xf numFmtId="3" fontId="119" fillId="0" borderId="118" xfId="0" applyNumberFormat="1" applyFont="1" applyBorder="1" applyAlignment="1">
      <alignment horizontal="center"/>
    </xf>
    <xf numFmtId="168" fontId="11" fillId="0" borderId="119" xfId="49" applyNumberFormat="1" applyFont="1" applyBorder="1" applyAlignment="1">
      <alignment horizontal="right"/>
    </xf>
    <xf numFmtId="168" fontId="128" fillId="0" borderId="118" xfId="0" applyNumberFormat="1" applyFont="1" applyFill="1" applyBorder="1" applyAlignment="1">
      <alignment horizontal="center"/>
    </xf>
    <xf numFmtId="3" fontId="128" fillId="0" borderId="118" xfId="0" applyNumberFormat="1" applyFont="1" applyFill="1" applyBorder="1" applyAlignment="1">
      <alignment horizontal="center"/>
    </xf>
    <xf numFmtId="168" fontId="128" fillId="0" borderId="119" xfId="49" applyNumberFormat="1" applyFont="1" applyFill="1" applyBorder="1" applyAlignment="1">
      <alignment horizontal="right"/>
    </xf>
    <xf numFmtId="0" fontId="11" fillId="6" borderId="17" xfId="0" applyFont="1" applyFill="1" applyBorder="1" applyAlignment="1">
      <alignment/>
    </xf>
    <xf numFmtId="3" fontId="11" fillId="6" borderId="17" xfId="0" applyNumberFormat="1" applyFont="1" applyFill="1" applyBorder="1" applyAlignment="1">
      <alignment horizontal="right" wrapText="1"/>
    </xf>
    <xf numFmtId="3" fontId="11" fillId="6" borderId="17" xfId="0" applyNumberFormat="1" applyFont="1" applyFill="1" applyBorder="1" applyAlignment="1">
      <alignment horizontal="right"/>
    </xf>
    <xf numFmtId="0" fontId="123" fillId="3" borderId="138" xfId="0" applyFont="1" applyFill="1" applyBorder="1" applyAlignment="1">
      <alignment horizontal="left"/>
    </xf>
    <xf numFmtId="0" fontId="123" fillId="3" borderId="77" xfId="0" applyFont="1" applyFill="1" applyBorder="1" applyAlignment="1">
      <alignment horizontal="left"/>
    </xf>
    <xf numFmtId="9" fontId="4" fillId="41" borderId="119" xfId="49" applyFont="1" applyFill="1" applyBorder="1" applyAlignment="1">
      <alignment horizontal="right"/>
    </xf>
    <xf numFmtId="17" fontId="6" fillId="0" borderId="68" xfId="0" applyNumberFormat="1" applyFont="1" applyBorder="1" applyAlignment="1">
      <alignment horizontal="center"/>
    </xf>
    <xf numFmtId="3" fontId="13" fillId="0" borderId="148" xfId="0" applyNumberFormat="1" applyFont="1" applyFill="1" applyBorder="1" applyAlignment="1">
      <alignment horizontal="center"/>
    </xf>
    <xf numFmtId="3" fontId="129" fillId="0" borderId="141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0" fontId="43" fillId="0" borderId="147" xfId="0" applyFont="1" applyFill="1" applyBorder="1" applyAlignment="1">
      <alignment horizontal="left"/>
    </xf>
    <xf numFmtId="168" fontId="0" fillId="0" borderId="0" xfId="0" applyNumberFormat="1" applyFont="1" applyBorder="1" applyAlignment="1">
      <alignment horizontal="right"/>
    </xf>
    <xf numFmtId="168" fontId="9" fillId="0" borderId="0" xfId="0" applyNumberFormat="1" applyFont="1" applyFill="1" applyBorder="1" applyAlignment="1">
      <alignment/>
    </xf>
    <xf numFmtId="9" fontId="4" fillId="0" borderId="119" xfId="49" applyFont="1" applyFill="1" applyBorder="1" applyAlignment="1">
      <alignment horizontal="right"/>
    </xf>
    <xf numFmtId="0" fontId="48" fillId="46" borderId="147" xfId="0" applyFont="1" applyFill="1" applyBorder="1" applyAlignment="1">
      <alignment horizontal="left"/>
    </xf>
    <xf numFmtId="0" fontId="2" fillId="4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140" fillId="0" borderId="6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41" fillId="0" borderId="0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5"/>
  <sheetViews>
    <sheetView workbookViewId="0" topLeftCell="A15">
      <selection activeCell="A2" sqref="A2:C2"/>
    </sheetView>
  </sheetViews>
  <sheetFormatPr defaultColWidth="9.00390625" defaultRowHeight="12.75"/>
  <cols>
    <col min="1" max="1" width="44.875" style="0" customWidth="1"/>
    <col min="2" max="2" width="12.875" style="0" customWidth="1"/>
    <col min="3" max="3" width="12.50390625" style="0" customWidth="1"/>
    <col min="4" max="4" width="12.00390625" style="0" customWidth="1"/>
    <col min="5" max="5" width="11.50390625" style="0" customWidth="1"/>
    <col min="6" max="6" width="8.50390625" style="0" hidden="1" customWidth="1"/>
    <col min="7" max="10" width="9.125" style="0" hidden="1" customWidth="1"/>
    <col min="12" max="12" width="10.50390625" style="0" customWidth="1"/>
    <col min="13" max="13" width="9.50390625" style="0" bestFit="1" customWidth="1"/>
  </cols>
  <sheetData>
    <row r="1" spans="1:10" ht="20.25">
      <c r="A1" s="872" t="s">
        <v>78</v>
      </c>
      <c r="B1" s="872"/>
      <c r="C1" s="872"/>
      <c r="D1" s="872"/>
      <c r="E1" s="872"/>
      <c r="F1" s="872"/>
      <c r="G1" s="872"/>
      <c r="H1" s="872"/>
      <c r="I1" s="872"/>
      <c r="J1" s="872"/>
    </row>
    <row r="2" spans="1:10" ht="20.25">
      <c r="A2" s="873" t="s">
        <v>6</v>
      </c>
      <c r="B2" s="873"/>
      <c r="C2" s="873"/>
      <c r="D2" s="873"/>
      <c r="E2" s="873"/>
      <c r="F2" s="873"/>
      <c r="G2" s="873"/>
      <c r="H2" s="873"/>
      <c r="I2" s="873"/>
      <c r="J2" s="873"/>
    </row>
    <row r="3" spans="1:10" s="10" customFormat="1" ht="15">
      <c r="A3" s="8"/>
      <c r="B3" s="170"/>
      <c r="C3" s="9"/>
      <c r="D3" s="4"/>
      <c r="F3" s="9"/>
      <c r="G3" s="36"/>
      <c r="H3" s="1"/>
      <c r="I3" s="1"/>
      <c r="J3" s="41"/>
    </row>
    <row r="4" spans="1:22" s="10" customFormat="1" ht="15" thickBot="1">
      <c r="A4" s="8"/>
      <c r="B4" s="9">
        <v>2015</v>
      </c>
      <c r="C4" s="9">
        <v>2015</v>
      </c>
      <c r="D4" s="4"/>
      <c r="E4" s="163"/>
      <c r="F4" s="9"/>
      <c r="G4" s="36"/>
      <c r="H4" s="1"/>
      <c r="I4" s="1"/>
      <c r="J4" s="41"/>
      <c r="L4" s="199"/>
      <c r="M4" s="131"/>
      <c r="N4" s="131"/>
      <c r="O4" s="131"/>
      <c r="P4" s="29"/>
      <c r="Q4" s="29"/>
      <c r="R4" s="29"/>
      <c r="S4" s="29"/>
      <c r="T4" s="29"/>
      <c r="U4" s="29"/>
      <c r="V4" s="29"/>
    </row>
    <row r="5" spans="1:22" ht="15">
      <c r="A5" s="89" t="s">
        <v>7</v>
      </c>
      <c r="B5" s="181" t="s">
        <v>17</v>
      </c>
      <c r="C5" s="93" t="s">
        <v>23</v>
      </c>
      <c r="D5" s="218" t="s">
        <v>79</v>
      </c>
      <c r="E5" s="73" t="s">
        <v>80</v>
      </c>
      <c r="F5" s="9"/>
      <c r="G5" s="36"/>
      <c r="H5" s="1"/>
      <c r="I5" s="1"/>
      <c r="J5" s="41"/>
      <c r="M5" s="131"/>
      <c r="N5" s="25"/>
      <c r="O5" s="25"/>
      <c r="P5" s="29"/>
      <c r="Q5" s="29"/>
      <c r="R5" s="29"/>
      <c r="S5" s="29"/>
      <c r="T5" s="29"/>
      <c r="U5" s="29"/>
      <c r="V5" s="29"/>
    </row>
    <row r="6" spans="1:22" ht="15.75" thickBot="1">
      <c r="A6" s="102"/>
      <c r="B6" s="182" t="s">
        <v>22</v>
      </c>
      <c r="C6" s="94" t="s">
        <v>22</v>
      </c>
      <c r="D6" s="219">
        <v>2016</v>
      </c>
      <c r="E6" s="74"/>
      <c r="F6" s="9"/>
      <c r="G6" s="36"/>
      <c r="H6" s="1"/>
      <c r="I6" s="1"/>
      <c r="J6" s="41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s="2" customFormat="1" ht="12.75" customHeight="1">
      <c r="A7" s="109" t="s">
        <v>73</v>
      </c>
      <c r="B7" s="189">
        <v>1200000</v>
      </c>
      <c r="C7" s="186">
        <v>198000</v>
      </c>
      <c r="D7" s="47">
        <v>203000</v>
      </c>
      <c r="E7" s="267">
        <v>5000</v>
      </c>
      <c r="F7" s="4"/>
      <c r="G7" s="26"/>
      <c r="H7" s="65"/>
      <c r="I7" s="65"/>
      <c r="J7" s="69"/>
      <c r="K7" s="124" t="s">
        <v>83</v>
      </c>
      <c r="L7" s="124"/>
      <c r="M7" s="57"/>
      <c r="N7" s="57"/>
      <c r="O7" s="57"/>
      <c r="P7" s="70"/>
      <c r="Q7" s="70"/>
      <c r="R7" s="70"/>
      <c r="S7" s="70"/>
      <c r="T7" s="70"/>
      <c r="U7" s="70"/>
      <c r="V7" s="70"/>
    </row>
    <row r="8" spans="1:22" s="2" customFormat="1" ht="12.75" customHeight="1">
      <c r="A8" s="161" t="s">
        <v>38</v>
      </c>
      <c r="B8" s="190"/>
      <c r="C8" s="180">
        <v>82000</v>
      </c>
      <c r="D8" s="42">
        <v>77000</v>
      </c>
      <c r="E8" s="222">
        <f>D8-C8</f>
        <v>-5000</v>
      </c>
      <c r="F8" s="4"/>
      <c r="G8" s="26"/>
      <c r="H8" s="65"/>
      <c r="I8" s="65"/>
      <c r="J8" s="69"/>
      <c r="K8" s="124" t="s">
        <v>109</v>
      </c>
      <c r="L8" s="124"/>
      <c r="M8" s="57"/>
      <c r="N8" s="57"/>
      <c r="O8" s="57"/>
      <c r="P8" s="70"/>
      <c r="Q8" s="70"/>
      <c r="R8" s="70"/>
      <c r="S8" s="70"/>
      <c r="T8" s="70"/>
      <c r="U8" s="70"/>
      <c r="V8" s="70"/>
    </row>
    <row r="9" spans="1:22" s="2" customFormat="1" ht="12.75" customHeight="1">
      <c r="A9" s="161" t="s">
        <v>34</v>
      </c>
      <c r="B9" s="190"/>
      <c r="C9" s="187">
        <v>920000</v>
      </c>
      <c r="D9" s="58">
        <v>920000</v>
      </c>
      <c r="E9" s="222">
        <v>0</v>
      </c>
      <c r="F9" s="4"/>
      <c r="G9" s="26"/>
      <c r="H9" s="65"/>
      <c r="I9" s="65"/>
      <c r="J9" s="69"/>
      <c r="K9" s="129"/>
      <c r="L9" s="124"/>
      <c r="M9" s="57"/>
      <c r="N9" s="57"/>
      <c r="O9" s="57"/>
      <c r="P9" s="132"/>
      <c r="Q9" s="70"/>
      <c r="R9" s="70"/>
      <c r="S9" s="70"/>
      <c r="T9" s="70"/>
      <c r="U9" s="70"/>
      <c r="V9" s="70"/>
    </row>
    <row r="10" spans="1:22" s="2" customFormat="1" ht="12.75" customHeight="1">
      <c r="A10" s="90" t="s">
        <v>1</v>
      </c>
      <c r="B10" s="191">
        <v>50000</v>
      </c>
      <c r="C10" s="113">
        <v>50000</v>
      </c>
      <c r="D10" s="49">
        <v>50000</v>
      </c>
      <c r="E10" s="222">
        <v>0</v>
      </c>
      <c r="F10" s="4"/>
      <c r="G10" s="26"/>
      <c r="H10" s="65"/>
      <c r="I10" s="65"/>
      <c r="J10" s="69"/>
      <c r="K10" s="124"/>
      <c r="L10" s="124"/>
      <c r="M10" s="57"/>
      <c r="N10" s="57"/>
      <c r="O10" s="57"/>
      <c r="P10" s="70"/>
      <c r="Q10" s="70"/>
      <c r="R10" s="70"/>
      <c r="S10" s="70"/>
      <c r="T10" s="70"/>
      <c r="U10" s="70"/>
      <c r="V10" s="70"/>
    </row>
    <row r="11" spans="1:22" s="2" customFormat="1" ht="12.75" customHeight="1">
      <c r="A11" s="90" t="s">
        <v>8</v>
      </c>
      <c r="B11" s="191">
        <v>270000</v>
      </c>
      <c r="C11" s="113">
        <v>270000</v>
      </c>
      <c r="D11" s="42">
        <v>395000</v>
      </c>
      <c r="E11" s="221">
        <f>D11-C11</f>
        <v>125000</v>
      </c>
      <c r="F11" s="4"/>
      <c r="G11" s="26"/>
      <c r="H11" s="65"/>
      <c r="I11" s="65"/>
      <c r="J11" s="69"/>
      <c r="K11" s="124" t="s">
        <v>97</v>
      </c>
      <c r="L11" s="124"/>
      <c r="M11" s="57"/>
      <c r="N11" s="57"/>
      <c r="O11" s="57"/>
      <c r="P11" s="70"/>
      <c r="Q11" s="70"/>
      <c r="R11" s="70"/>
      <c r="S11" s="70"/>
      <c r="T11" s="70"/>
      <c r="U11" s="70"/>
      <c r="V11" s="70"/>
    </row>
    <row r="12" spans="1:22" s="2" customFormat="1" ht="12.75" customHeight="1">
      <c r="A12" s="90" t="s">
        <v>18</v>
      </c>
      <c r="B12" s="191">
        <v>2517894</v>
      </c>
      <c r="C12" s="113">
        <v>2517894</v>
      </c>
      <c r="D12" s="42">
        <f>3216213+613376</f>
        <v>3829589</v>
      </c>
      <c r="E12" s="221">
        <f>D12-C12</f>
        <v>1311695</v>
      </c>
      <c r="F12" s="4"/>
      <c r="G12" s="26"/>
      <c r="H12" s="65"/>
      <c r="I12" s="65"/>
      <c r="J12" s="69"/>
      <c r="K12" s="124" t="s">
        <v>97</v>
      </c>
      <c r="L12" s="124"/>
      <c r="M12" s="57"/>
      <c r="N12" s="57"/>
      <c r="O12" s="57"/>
      <c r="P12" s="70"/>
      <c r="Q12" s="70"/>
      <c r="R12" s="70"/>
      <c r="S12" s="70"/>
      <c r="T12" s="70"/>
      <c r="U12" s="70"/>
      <c r="V12" s="70"/>
    </row>
    <row r="13" spans="1:22" s="2" customFormat="1" ht="12.75" customHeight="1">
      <c r="A13" s="90" t="s">
        <v>9</v>
      </c>
      <c r="B13" s="191">
        <v>210000</v>
      </c>
      <c r="C13" s="113">
        <v>210000</v>
      </c>
      <c r="D13" s="48">
        <v>230000</v>
      </c>
      <c r="E13" s="221">
        <f>D13-C13</f>
        <v>20000</v>
      </c>
      <c r="F13" s="4"/>
      <c r="G13" s="26"/>
      <c r="H13" s="65"/>
      <c r="I13" s="65"/>
      <c r="J13" s="69"/>
      <c r="K13" s="124" t="s">
        <v>96</v>
      </c>
      <c r="L13" s="124"/>
      <c r="M13" s="57"/>
      <c r="N13" s="57"/>
      <c r="O13" s="57"/>
      <c r="P13" s="70"/>
      <c r="Q13" s="70"/>
      <c r="R13" s="70"/>
      <c r="S13" s="70"/>
      <c r="T13" s="70"/>
      <c r="U13" s="70"/>
      <c r="V13" s="70"/>
    </row>
    <row r="14" spans="1:22" s="2" customFormat="1" ht="12.75" customHeight="1">
      <c r="A14" s="90" t="s">
        <v>10</v>
      </c>
      <c r="B14" s="191">
        <v>3300000</v>
      </c>
      <c r="C14" s="198">
        <v>3300000</v>
      </c>
      <c r="D14" s="92">
        <v>3903150</v>
      </c>
      <c r="E14" s="221">
        <f>D14-C14</f>
        <v>603150</v>
      </c>
      <c r="F14" s="4"/>
      <c r="G14" s="26"/>
      <c r="H14" s="81"/>
      <c r="I14" s="81"/>
      <c r="J14" s="69"/>
      <c r="K14" s="124" t="s">
        <v>117</v>
      </c>
      <c r="L14" s="124"/>
      <c r="M14" s="57"/>
      <c r="N14" s="57"/>
      <c r="O14" s="57"/>
      <c r="P14" s="70"/>
      <c r="Q14" s="70"/>
      <c r="R14" s="70"/>
      <c r="S14" s="70"/>
      <c r="T14" s="70"/>
      <c r="U14" s="70"/>
      <c r="V14" s="70"/>
    </row>
    <row r="15" spans="1:22" s="2" customFormat="1" ht="12.75" customHeight="1">
      <c r="A15" s="91" t="s">
        <v>39</v>
      </c>
      <c r="B15" s="192">
        <v>950000</v>
      </c>
      <c r="C15" s="183">
        <v>950000</v>
      </c>
      <c r="D15" s="42">
        <v>950000</v>
      </c>
      <c r="E15" s="222">
        <v>0</v>
      </c>
      <c r="F15" s="4"/>
      <c r="G15" s="53"/>
      <c r="H15" s="66"/>
      <c r="I15" s="66"/>
      <c r="J15" s="69"/>
      <c r="K15" s="124"/>
      <c r="L15" s="124"/>
      <c r="M15" s="57"/>
      <c r="N15" s="57"/>
      <c r="O15" s="57"/>
      <c r="P15" s="70"/>
      <c r="Q15" s="70"/>
      <c r="R15" s="70"/>
      <c r="S15" s="70"/>
      <c r="T15" s="70"/>
      <c r="U15" s="70"/>
      <c r="V15" s="70"/>
    </row>
    <row r="16" spans="1:22" s="2" customFormat="1" ht="12.75" customHeight="1">
      <c r="A16" s="91" t="s">
        <v>69</v>
      </c>
      <c r="B16" s="193">
        <v>30000</v>
      </c>
      <c r="C16" s="112">
        <v>30000</v>
      </c>
      <c r="D16" s="42">
        <v>35000</v>
      </c>
      <c r="E16" s="221">
        <f>D16-C16</f>
        <v>5000</v>
      </c>
      <c r="F16" s="4"/>
      <c r="G16" s="53"/>
      <c r="H16" s="66"/>
      <c r="I16" s="66"/>
      <c r="J16" s="69"/>
      <c r="K16" s="124" t="s">
        <v>89</v>
      </c>
      <c r="L16" s="124"/>
      <c r="M16" s="57"/>
      <c r="N16" s="57"/>
      <c r="O16" s="57"/>
      <c r="P16" s="70"/>
      <c r="Q16" s="70"/>
      <c r="R16" s="70"/>
      <c r="S16" s="70"/>
      <c r="T16" s="70"/>
      <c r="U16" s="70"/>
      <c r="V16" s="70"/>
    </row>
    <row r="17" spans="1:22" s="2" customFormat="1" ht="12.75" customHeight="1">
      <c r="A17" s="91" t="s">
        <v>24</v>
      </c>
      <c r="B17" s="193">
        <v>40000</v>
      </c>
      <c r="C17" s="112">
        <v>40000</v>
      </c>
      <c r="D17" s="49">
        <v>40000</v>
      </c>
      <c r="E17" s="222">
        <v>0</v>
      </c>
      <c r="F17" s="4"/>
      <c r="G17" s="53"/>
      <c r="H17" s="66"/>
      <c r="I17" s="66"/>
      <c r="J17" s="69"/>
      <c r="K17" s="124"/>
      <c r="L17" s="124"/>
      <c r="M17" s="57"/>
      <c r="N17" s="57"/>
      <c r="O17" s="57"/>
      <c r="P17" s="70"/>
      <c r="Q17" s="70"/>
      <c r="R17" s="70"/>
      <c r="S17" s="70"/>
      <c r="T17" s="70"/>
      <c r="U17" s="70"/>
      <c r="V17" s="70"/>
    </row>
    <row r="18" spans="1:22" s="2" customFormat="1" ht="12.75" customHeight="1">
      <c r="A18" s="91" t="s">
        <v>25</v>
      </c>
      <c r="B18" s="193">
        <v>40000</v>
      </c>
      <c r="C18" s="112">
        <v>40000</v>
      </c>
      <c r="D18" s="49">
        <v>40000</v>
      </c>
      <c r="E18" s="222">
        <v>0</v>
      </c>
      <c r="F18" s="4"/>
      <c r="G18" s="53"/>
      <c r="H18" s="66"/>
      <c r="I18" s="66"/>
      <c r="J18" s="69"/>
      <c r="K18" s="124"/>
      <c r="L18" s="124"/>
      <c r="M18" s="57"/>
      <c r="N18" s="57"/>
      <c r="O18" s="57"/>
      <c r="P18" s="70"/>
      <c r="Q18" s="70"/>
      <c r="R18" s="70"/>
      <c r="S18" s="70"/>
      <c r="T18" s="70"/>
      <c r="U18" s="70"/>
      <c r="V18" s="70"/>
    </row>
    <row r="19" spans="1:22" s="2" customFormat="1" ht="12.75" customHeight="1">
      <c r="A19" s="91" t="s">
        <v>26</v>
      </c>
      <c r="B19" s="193">
        <v>120000</v>
      </c>
      <c r="C19" s="112">
        <v>120000</v>
      </c>
      <c r="D19" s="49">
        <v>120000</v>
      </c>
      <c r="E19" s="222">
        <v>0</v>
      </c>
      <c r="F19" s="4"/>
      <c r="G19" s="53"/>
      <c r="H19" s="66"/>
      <c r="I19" s="66"/>
      <c r="J19" s="69"/>
      <c r="K19" s="124"/>
      <c r="L19" s="124"/>
      <c r="M19" s="57"/>
      <c r="N19" s="57"/>
      <c r="O19" s="57"/>
      <c r="P19" s="70"/>
      <c r="Q19" s="70"/>
      <c r="R19" s="70"/>
      <c r="S19" s="70"/>
      <c r="T19" s="70"/>
      <c r="U19" s="70"/>
      <c r="V19" s="70"/>
    </row>
    <row r="20" spans="1:22" s="2" customFormat="1" ht="12.75" customHeight="1">
      <c r="A20" s="91" t="s">
        <v>20</v>
      </c>
      <c r="B20" s="193">
        <v>340000</v>
      </c>
      <c r="C20" s="112">
        <v>340000</v>
      </c>
      <c r="D20" s="247">
        <v>402930</v>
      </c>
      <c r="E20" s="221">
        <f>D20-C20</f>
        <v>62930</v>
      </c>
      <c r="F20" s="4"/>
      <c r="G20" s="53"/>
      <c r="H20" s="66"/>
      <c r="I20" s="66"/>
      <c r="J20" s="69"/>
      <c r="K20" s="124" t="s">
        <v>116</v>
      </c>
      <c r="L20" s="124"/>
      <c r="M20" s="57"/>
      <c r="N20" s="57"/>
      <c r="O20" s="57"/>
      <c r="P20" s="70"/>
      <c r="Q20" s="70"/>
      <c r="R20" s="70"/>
      <c r="S20" s="70"/>
      <c r="T20" s="70"/>
      <c r="U20" s="70"/>
      <c r="V20" s="70"/>
    </row>
    <row r="21" spans="1:22" s="2" customFormat="1" ht="12.75" customHeight="1">
      <c r="A21" s="91" t="s">
        <v>40</v>
      </c>
      <c r="B21" s="193">
        <v>50000</v>
      </c>
      <c r="C21" s="112">
        <v>50000</v>
      </c>
      <c r="D21" s="49">
        <v>50000</v>
      </c>
      <c r="E21" s="222">
        <v>0</v>
      </c>
      <c r="F21" s="4"/>
      <c r="G21" s="53"/>
      <c r="H21" s="66"/>
      <c r="I21" s="66"/>
      <c r="J21" s="69"/>
      <c r="K21" s="124"/>
      <c r="L21" s="124"/>
      <c r="M21" s="57"/>
      <c r="N21" s="57"/>
      <c r="O21" s="57"/>
      <c r="P21" s="70"/>
      <c r="Q21" s="70"/>
      <c r="R21" s="70"/>
      <c r="S21" s="70"/>
      <c r="T21" s="70"/>
      <c r="U21" s="70"/>
      <c r="V21" s="70"/>
    </row>
    <row r="22" spans="1:22" s="2" customFormat="1" ht="12.75" customHeight="1">
      <c r="A22" s="91" t="s">
        <v>41</v>
      </c>
      <c r="B22" s="193">
        <v>30000</v>
      </c>
      <c r="C22" s="112">
        <v>30000</v>
      </c>
      <c r="D22" s="49">
        <v>30000</v>
      </c>
      <c r="E22" s="222">
        <v>0</v>
      </c>
      <c r="F22" s="4"/>
      <c r="G22" s="53"/>
      <c r="H22" s="66"/>
      <c r="I22" s="66"/>
      <c r="J22" s="69"/>
      <c r="K22" s="124"/>
      <c r="L22" s="124"/>
      <c r="M22" s="57"/>
      <c r="N22" s="57"/>
      <c r="O22" s="57"/>
      <c r="P22" s="70"/>
      <c r="Q22" s="70"/>
      <c r="R22" s="70"/>
      <c r="S22" s="70"/>
      <c r="T22" s="70"/>
      <c r="U22" s="70"/>
      <c r="V22" s="70"/>
    </row>
    <row r="23" spans="1:22" s="2" customFormat="1" ht="12.75" customHeight="1">
      <c r="A23" s="91" t="s">
        <v>42</v>
      </c>
      <c r="B23" s="193">
        <v>60000</v>
      </c>
      <c r="C23" s="112">
        <v>60000</v>
      </c>
      <c r="D23" s="49">
        <v>100000</v>
      </c>
      <c r="E23" s="221">
        <f>D23-C23</f>
        <v>40000</v>
      </c>
      <c r="F23" s="4"/>
      <c r="G23" s="53"/>
      <c r="H23" s="66"/>
      <c r="I23" s="66"/>
      <c r="J23" s="69"/>
      <c r="K23" s="124" t="s">
        <v>89</v>
      </c>
      <c r="L23" s="124"/>
      <c r="M23" s="57"/>
      <c r="N23" s="57"/>
      <c r="O23" s="57"/>
      <c r="P23" s="70"/>
      <c r="Q23" s="70"/>
      <c r="R23" s="70"/>
      <c r="S23" s="70"/>
      <c r="T23" s="70"/>
      <c r="U23" s="70"/>
      <c r="V23" s="70"/>
    </row>
    <row r="24" spans="1:22" s="2" customFormat="1" ht="12.75" customHeight="1">
      <c r="A24" s="91" t="s">
        <v>43</v>
      </c>
      <c r="B24" s="193">
        <v>200000</v>
      </c>
      <c r="C24" s="112">
        <v>200000</v>
      </c>
      <c r="D24" s="49">
        <v>400000</v>
      </c>
      <c r="E24" s="221">
        <f>D24-C24</f>
        <v>200000</v>
      </c>
      <c r="F24" s="4"/>
      <c r="G24" s="53"/>
      <c r="H24" s="66"/>
      <c r="I24" s="66"/>
      <c r="J24" s="69"/>
      <c r="K24" s="124" t="s">
        <v>89</v>
      </c>
      <c r="L24" s="124"/>
      <c r="M24" s="57"/>
      <c r="N24" s="57"/>
      <c r="O24" s="57"/>
      <c r="P24" s="70"/>
      <c r="Q24" s="70"/>
      <c r="R24" s="70"/>
      <c r="S24" s="70"/>
      <c r="T24" s="70"/>
      <c r="U24" s="70"/>
      <c r="V24" s="70"/>
    </row>
    <row r="25" spans="1:22" s="2" customFormat="1" ht="12.75" customHeight="1">
      <c r="A25" s="91" t="s">
        <v>44</v>
      </c>
      <c r="B25" s="193">
        <v>20000</v>
      </c>
      <c r="C25" s="112">
        <v>20000</v>
      </c>
      <c r="D25" s="49">
        <v>20000</v>
      </c>
      <c r="E25" s="222">
        <v>0</v>
      </c>
      <c r="F25" s="4"/>
      <c r="G25" s="53"/>
      <c r="H25" s="66"/>
      <c r="I25" s="66"/>
      <c r="J25" s="69"/>
      <c r="K25" s="124"/>
      <c r="L25" s="124"/>
      <c r="M25" s="57"/>
      <c r="N25" s="57"/>
      <c r="O25" s="57"/>
      <c r="P25" s="70"/>
      <c r="Q25" s="70"/>
      <c r="R25" s="70"/>
      <c r="S25" s="70"/>
      <c r="T25" s="70"/>
      <c r="U25" s="70"/>
      <c r="V25" s="70"/>
    </row>
    <row r="26" spans="1:22" s="2" customFormat="1" ht="12.75" customHeight="1">
      <c r="A26" s="91" t="s">
        <v>27</v>
      </c>
      <c r="B26" s="193">
        <v>60000</v>
      </c>
      <c r="C26" s="112">
        <v>60000</v>
      </c>
      <c r="D26" s="49">
        <v>60000</v>
      </c>
      <c r="E26" s="222">
        <v>0</v>
      </c>
      <c r="F26" s="4"/>
      <c r="G26" s="53"/>
      <c r="H26" s="66"/>
      <c r="I26" s="66"/>
      <c r="J26" s="69"/>
      <c r="K26" s="124"/>
      <c r="L26" s="124"/>
      <c r="M26" s="57"/>
      <c r="N26" s="57"/>
      <c r="O26" s="57"/>
      <c r="P26" s="70"/>
      <c r="Q26" s="70"/>
      <c r="R26" s="70"/>
      <c r="S26" s="70"/>
      <c r="T26" s="70"/>
      <c r="U26" s="70"/>
      <c r="V26" s="70"/>
    </row>
    <row r="27" spans="1:22" s="2" customFormat="1" ht="12.75" customHeight="1">
      <c r="A27" s="91" t="s">
        <v>28</v>
      </c>
      <c r="B27" s="193">
        <v>20000</v>
      </c>
      <c r="C27" s="112">
        <v>20000</v>
      </c>
      <c r="D27" s="49">
        <v>20000</v>
      </c>
      <c r="E27" s="222">
        <v>0</v>
      </c>
      <c r="F27" s="4"/>
      <c r="G27" s="53"/>
      <c r="H27" s="66"/>
      <c r="I27" s="66"/>
      <c r="J27" s="69"/>
      <c r="K27" s="124"/>
      <c r="L27" s="124"/>
      <c r="M27" s="57"/>
      <c r="N27" s="57"/>
      <c r="O27" s="57"/>
      <c r="P27" s="70"/>
      <c r="Q27" s="70"/>
      <c r="R27" s="70"/>
      <c r="S27" s="70"/>
      <c r="T27" s="70"/>
      <c r="U27" s="70"/>
      <c r="V27" s="70"/>
    </row>
    <row r="28" spans="1:22" s="2" customFormat="1" ht="12.75" customHeight="1">
      <c r="A28" s="91" t="s">
        <v>35</v>
      </c>
      <c r="B28" s="193">
        <v>15000</v>
      </c>
      <c r="C28" s="112">
        <v>15000</v>
      </c>
      <c r="D28" s="49">
        <v>15000</v>
      </c>
      <c r="E28" s="222">
        <v>0</v>
      </c>
      <c r="F28" s="4"/>
      <c r="G28" s="53"/>
      <c r="H28" s="66"/>
      <c r="I28" s="66"/>
      <c r="J28" s="69"/>
      <c r="K28" s="124"/>
      <c r="L28" s="124"/>
      <c r="M28" s="57"/>
      <c r="N28" s="57"/>
      <c r="O28" s="57"/>
      <c r="P28" s="70"/>
      <c r="Q28" s="70"/>
      <c r="R28" s="70"/>
      <c r="S28" s="70"/>
      <c r="T28" s="70"/>
      <c r="U28" s="70"/>
      <c r="V28" s="70"/>
    </row>
    <row r="29" spans="1:22" s="2" customFormat="1" ht="12.75" customHeight="1">
      <c r="A29" s="91" t="s">
        <v>45</v>
      </c>
      <c r="B29" s="193">
        <v>20000</v>
      </c>
      <c r="C29" s="112">
        <v>20000</v>
      </c>
      <c r="D29" s="49">
        <v>20000</v>
      </c>
      <c r="E29" s="222">
        <v>0</v>
      </c>
      <c r="F29" s="4"/>
      <c r="G29" s="53"/>
      <c r="H29" s="66"/>
      <c r="I29" s="66"/>
      <c r="J29" s="69"/>
      <c r="K29" s="124"/>
      <c r="L29" s="124"/>
      <c r="M29" s="57"/>
      <c r="N29" s="57"/>
      <c r="O29" s="57"/>
      <c r="P29" s="70"/>
      <c r="Q29" s="70"/>
      <c r="R29" s="70"/>
      <c r="S29" s="70"/>
      <c r="T29" s="70"/>
      <c r="U29" s="70"/>
      <c r="V29" s="70"/>
    </row>
    <row r="30" spans="1:22" s="2" customFormat="1" ht="12.75" customHeight="1">
      <c r="A30" s="91" t="s">
        <v>46</v>
      </c>
      <c r="B30" s="193">
        <v>20000</v>
      </c>
      <c r="C30" s="112">
        <v>20000</v>
      </c>
      <c r="D30" s="49">
        <v>50000</v>
      </c>
      <c r="E30" s="221">
        <f>D30-C30</f>
        <v>30000</v>
      </c>
      <c r="F30" s="4"/>
      <c r="G30" s="53"/>
      <c r="H30" s="66"/>
      <c r="I30" s="66"/>
      <c r="J30" s="69"/>
      <c r="K30" s="124" t="s">
        <v>89</v>
      </c>
      <c r="L30" s="124"/>
      <c r="M30" s="57"/>
      <c r="N30" s="57"/>
      <c r="O30" s="57"/>
      <c r="P30" s="70"/>
      <c r="Q30" s="70"/>
      <c r="R30" s="70"/>
      <c r="S30" s="70"/>
      <c r="T30" s="70"/>
      <c r="U30" s="70"/>
      <c r="V30" s="70"/>
    </row>
    <row r="31" spans="1:22" s="2" customFormat="1" ht="12.75" customHeight="1">
      <c r="A31" s="252" t="s">
        <v>90</v>
      </c>
      <c r="B31" s="253"/>
      <c r="C31" s="254"/>
      <c r="D31" s="49">
        <v>10000</v>
      </c>
      <c r="E31" s="221">
        <v>10000</v>
      </c>
      <c r="F31" s="4"/>
      <c r="G31" s="53"/>
      <c r="H31" s="66"/>
      <c r="I31" s="66"/>
      <c r="J31" s="69"/>
      <c r="K31" s="124" t="s">
        <v>89</v>
      </c>
      <c r="L31" s="124"/>
      <c r="M31" s="57"/>
      <c r="N31" s="57"/>
      <c r="O31" s="57"/>
      <c r="P31" s="70"/>
      <c r="Q31" s="70"/>
      <c r="R31" s="70"/>
      <c r="S31" s="70"/>
      <c r="T31" s="70"/>
      <c r="U31" s="70"/>
      <c r="V31" s="70"/>
    </row>
    <row r="32" spans="1:22" s="2" customFormat="1" ht="12.75" customHeight="1">
      <c r="A32" s="251" t="s">
        <v>91</v>
      </c>
      <c r="B32" s="195"/>
      <c r="C32" s="16"/>
      <c r="D32" s="49">
        <v>20000</v>
      </c>
      <c r="E32" s="221">
        <v>20000</v>
      </c>
      <c r="F32" s="4"/>
      <c r="G32" s="53"/>
      <c r="H32" s="66"/>
      <c r="I32" s="66"/>
      <c r="J32" s="69"/>
      <c r="K32" s="124" t="s">
        <v>89</v>
      </c>
      <c r="L32" s="124"/>
      <c r="M32" s="57"/>
      <c r="N32" s="57"/>
      <c r="O32" s="57"/>
      <c r="P32" s="70"/>
      <c r="Q32" s="70"/>
      <c r="R32" s="70"/>
      <c r="S32" s="70"/>
      <c r="T32" s="70"/>
      <c r="U32" s="70"/>
      <c r="V32" s="70"/>
    </row>
    <row r="33" spans="1:22" s="2" customFormat="1" ht="12.75" customHeight="1">
      <c r="A33" s="184" t="s">
        <v>75</v>
      </c>
      <c r="B33" s="194"/>
      <c r="C33" s="180">
        <v>100000</v>
      </c>
      <c r="D33" s="49">
        <v>100000</v>
      </c>
      <c r="E33" s="222">
        <v>0</v>
      </c>
      <c r="F33" s="4"/>
      <c r="G33" s="53"/>
      <c r="H33" s="66"/>
      <c r="I33" s="66"/>
      <c r="J33" s="69"/>
      <c r="K33" s="124"/>
      <c r="L33" s="124"/>
      <c r="M33" s="57"/>
      <c r="N33" s="57"/>
      <c r="O33" s="57"/>
      <c r="P33" s="70"/>
      <c r="Q33" s="70"/>
      <c r="R33" s="70"/>
      <c r="S33" s="70"/>
      <c r="T33" s="70"/>
      <c r="U33" s="70"/>
      <c r="V33" s="70"/>
    </row>
    <row r="34" spans="1:22" s="2" customFormat="1" ht="12.75" customHeight="1">
      <c r="A34" s="91" t="s">
        <v>84</v>
      </c>
      <c r="B34" s="194">
        <v>20000</v>
      </c>
      <c r="C34" s="112">
        <v>20000</v>
      </c>
      <c r="D34" s="49">
        <v>20000</v>
      </c>
      <c r="E34" s="222">
        <v>0</v>
      </c>
      <c r="F34" s="4"/>
      <c r="G34" s="53"/>
      <c r="H34" s="66"/>
      <c r="I34" s="66"/>
      <c r="J34" s="69"/>
      <c r="K34" s="124"/>
      <c r="L34" s="124"/>
      <c r="M34" s="57"/>
      <c r="N34" s="57"/>
      <c r="O34" s="57"/>
      <c r="P34" s="70"/>
      <c r="Q34" s="70"/>
      <c r="R34" s="70"/>
      <c r="S34" s="70"/>
      <c r="T34" s="70"/>
      <c r="U34" s="70"/>
      <c r="V34" s="70"/>
    </row>
    <row r="35" spans="1:22" s="2" customFormat="1" ht="12.75" customHeight="1" thickBot="1">
      <c r="A35" s="164" t="s">
        <v>74</v>
      </c>
      <c r="B35" s="193">
        <v>745723</v>
      </c>
      <c r="C35" s="112">
        <v>745723</v>
      </c>
      <c r="D35" s="49">
        <v>727935</v>
      </c>
      <c r="E35" s="224">
        <f>D35-C35</f>
        <v>-17788</v>
      </c>
      <c r="F35" s="4"/>
      <c r="G35" s="26"/>
      <c r="H35" s="81"/>
      <c r="I35" s="81"/>
      <c r="J35" s="69"/>
      <c r="K35" s="124" t="s">
        <v>81</v>
      </c>
      <c r="L35" s="124"/>
      <c r="M35" s="57"/>
      <c r="N35" s="57"/>
      <c r="O35" s="57"/>
      <c r="P35" s="70"/>
      <c r="Q35" s="70"/>
      <c r="R35" s="70"/>
      <c r="S35" s="70"/>
      <c r="T35" s="70"/>
      <c r="U35" s="70"/>
      <c r="V35" s="70"/>
    </row>
    <row r="36" spans="1:15" s="11" customFormat="1" ht="14.25" thickBot="1">
      <c r="A36" s="185" t="s">
        <v>2</v>
      </c>
      <c r="B36" s="196">
        <f>SUM(B7:B35)</f>
        <v>10328617</v>
      </c>
      <c r="C36" s="188">
        <f>SUM(C7:C35)</f>
        <v>10428617</v>
      </c>
      <c r="D36" s="44">
        <f>SUM(D7:D35)</f>
        <v>12838604</v>
      </c>
      <c r="E36" s="223"/>
      <c r="F36" s="5"/>
      <c r="G36" s="56"/>
      <c r="H36" s="82"/>
      <c r="I36" s="82"/>
      <c r="J36" s="83"/>
      <c r="K36" s="124"/>
      <c r="L36" s="124"/>
      <c r="M36" s="7"/>
      <c r="N36" s="7"/>
      <c r="O36" s="7"/>
    </row>
    <row r="37" spans="1:21" ht="15.75" thickBot="1">
      <c r="A37" s="12"/>
      <c r="B37" s="13"/>
      <c r="C37" s="22"/>
      <c r="D37" s="22"/>
      <c r="E37" s="14"/>
      <c r="F37" s="4"/>
      <c r="G37" s="64"/>
      <c r="H37" s="65"/>
      <c r="I37" s="65"/>
      <c r="J37" s="33"/>
      <c r="K37" s="124"/>
      <c r="L37" s="124"/>
      <c r="M37" s="7"/>
      <c r="N37" s="7"/>
      <c r="O37" s="7"/>
      <c r="S37" s="10"/>
      <c r="T37" s="10"/>
      <c r="U37" s="10"/>
    </row>
    <row r="38" spans="1:21" ht="15.75" thickBot="1">
      <c r="A38" s="169" t="s">
        <v>3</v>
      </c>
      <c r="B38" s="14"/>
      <c r="C38" s="22"/>
      <c r="D38" s="22"/>
      <c r="E38" s="14"/>
      <c r="F38" s="14"/>
      <c r="G38" s="64"/>
      <c r="H38" s="65"/>
      <c r="I38" s="65"/>
      <c r="J38" s="33"/>
      <c r="K38" s="124"/>
      <c r="L38" s="124"/>
      <c r="M38" s="7"/>
      <c r="N38" s="7"/>
      <c r="O38" s="7"/>
      <c r="S38" s="10"/>
      <c r="T38" s="5"/>
      <c r="U38" s="10"/>
    </row>
    <row r="39" spans="1:21" s="2" customFormat="1" ht="12.75" customHeight="1">
      <c r="A39" s="119" t="s">
        <v>11</v>
      </c>
      <c r="B39" s="111">
        <v>1990000</v>
      </c>
      <c r="C39" s="45">
        <v>1990000</v>
      </c>
      <c r="D39" s="201">
        <v>2250000</v>
      </c>
      <c r="E39" s="260">
        <f>D39-C39</f>
        <v>260000</v>
      </c>
      <c r="F39" s="26"/>
      <c r="G39" s="30"/>
      <c r="H39" s="65"/>
      <c r="I39" s="65"/>
      <c r="J39" s="69"/>
      <c r="M39" s="57"/>
      <c r="N39" s="16"/>
      <c r="O39" s="57"/>
      <c r="P39" s="70"/>
      <c r="Q39" s="70"/>
      <c r="R39" s="70"/>
      <c r="S39" s="69"/>
      <c r="T39" s="69"/>
      <c r="U39" s="69"/>
    </row>
    <row r="40" spans="1:21" s="2" customFormat="1" ht="12.75" customHeight="1">
      <c r="A40" s="106" t="s">
        <v>12</v>
      </c>
      <c r="B40" s="113">
        <v>20000</v>
      </c>
      <c r="C40" s="46">
        <v>20000</v>
      </c>
      <c r="D40" s="42">
        <v>20000</v>
      </c>
      <c r="E40" s="261">
        <v>0</v>
      </c>
      <c r="F40" s="26"/>
      <c r="G40" s="30"/>
      <c r="H40" s="65"/>
      <c r="I40" s="65"/>
      <c r="J40" s="69"/>
      <c r="L40" s="70"/>
      <c r="M40" s="57"/>
      <c r="N40" s="16"/>
      <c r="O40" s="57"/>
      <c r="P40" s="70"/>
      <c r="Q40" s="70"/>
      <c r="R40" s="70"/>
      <c r="S40" s="69"/>
      <c r="T40" s="69"/>
      <c r="U40" s="69"/>
    </row>
    <row r="41" spans="1:21" s="2" customFormat="1" ht="12.75" customHeight="1">
      <c r="A41" s="101" t="s">
        <v>19</v>
      </c>
      <c r="B41" s="114">
        <v>950000</v>
      </c>
      <c r="C41" s="46">
        <v>950000</v>
      </c>
      <c r="D41" s="42">
        <v>950000</v>
      </c>
      <c r="E41" s="261">
        <v>0</v>
      </c>
      <c r="F41" s="53"/>
      <c r="G41" s="30"/>
      <c r="H41" s="65"/>
      <c r="I41" s="65"/>
      <c r="J41" s="69"/>
      <c r="L41" s="16"/>
      <c r="M41" s="57"/>
      <c r="N41" s="16"/>
      <c r="O41" s="57"/>
      <c r="P41" s="70"/>
      <c r="Q41" s="70"/>
      <c r="R41" s="70"/>
      <c r="S41" s="69"/>
      <c r="T41" s="69"/>
      <c r="U41" s="69"/>
    </row>
    <row r="42" spans="1:21" s="2" customFormat="1" ht="12.75" customHeight="1">
      <c r="A42" s="120" t="s">
        <v>4</v>
      </c>
      <c r="B42" s="115">
        <v>6215617</v>
      </c>
      <c r="C42" s="130">
        <v>6217642</v>
      </c>
      <c r="D42" s="200">
        <f>7829935-16850+116213+68376</f>
        <v>7997674</v>
      </c>
      <c r="E42" s="268">
        <f>D42-C42</f>
        <v>1780032</v>
      </c>
      <c r="F42" s="53"/>
      <c r="G42" s="30"/>
      <c r="H42" s="65"/>
      <c r="I42" s="65"/>
      <c r="J42" s="69"/>
      <c r="L42" s="16"/>
      <c r="M42" s="57"/>
      <c r="N42" s="16"/>
      <c r="O42" s="57"/>
      <c r="P42" s="132"/>
      <c r="Q42" s="70"/>
      <c r="R42" s="70"/>
      <c r="S42" s="69"/>
      <c r="T42" s="69"/>
      <c r="U42" s="5"/>
    </row>
    <row r="43" spans="1:21" s="2" customFormat="1" ht="12.75" customHeight="1">
      <c r="A43" s="120" t="s">
        <v>21</v>
      </c>
      <c r="B43" s="116">
        <v>340000</v>
      </c>
      <c r="C43" s="100">
        <v>340000</v>
      </c>
      <c r="D43" s="48">
        <v>402930</v>
      </c>
      <c r="E43" s="268">
        <f>D43-C43</f>
        <v>62930</v>
      </c>
      <c r="F43" s="53"/>
      <c r="G43" s="30"/>
      <c r="H43" s="65"/>
      <c r="I43" s="65"/>
      <c r="J43" s="69"/>
      <c r="L43" s="16"/>
      <c r="M43" s="57"/>
      <c r="N43" s="28"/>
      <c r="O43" s="57"/>
      <c r="P43" s="70"/>
      <c r="Q43" s="70"/>
      <c r="R43" s="70"/>
      <c r="S43" s="69"/>
      <c r="T43" s="69"/>
      <c r="U43" s="69"/>
    </row>
    <row r="44" spans="1:18" s="2" customFormat="1" ht="12.75" customHeight="1">
      <c r="A44" s="122" t="s">
        <v>29</v>
      </c>
      <c r="B44" s="123">
        <v>30000</v>
      </c>
      <c r="C44" s="100">
        <v>30000</v>
      </c>
      <c r="D44" s="48">
        <v>35000</v>
      </c>
      <c r="E44" s="268">
        <f>D44-C44</f>
        <v>5000</v>
      </c>
      <c r="F44" s="53"/>
      <c r="G44" s="30"/>
      <c r="H44" s="65"/>
      <c r="I44" s="65"/>
      <c r="J44" s="69"/>
      <c r="L44" s="28"/>
      <c r="M44" s="57"/>
      <c r="N44" s="16"/>
      <c r="O44" s="57"/>
      <c r="P44" s="70"/>
      <c r="Q44" s="70"/>
      <c r="R44" s="70"/>
    </row>
    <row r="45" spans="1:18" s="2" customFormat="1" ht="12.75" customHeight="1">
      <c r="A45" s="107" t="s">
        <v>50</v>
      </c>
      <c r="B45" s="117">
        <v>40000</v>
      </c>
      <c r="C45" s="100">
        <v>40000</v>
      </c>
      <c r="D45" s="48">
        <v>40000</v>
      </c>
      <c r="E45" s="262">
        <v>0</v>
      </c>
      <c r="F45" s="26"/>
      <c r="G45" s="53"/>
      <c r="H45" s="66"/>
      <c r="I45" s="66"/>
      <c r="J45" s="69"/>
      <c r="L45" s="16"/>
      <c r="M45" s="57"/>
      <c r="N45" s="16"/>
      <c r="O45" s="57"/>
      <c r="P45" s="70"/>
      <c r="Q45" s="70"/>
      <c r="R45" s="70"/>
    </row>
    <row r="46" spans="1:18" s="2" customFormat="1" ht="12.75" customHeight="1">
      <c r="A46" s="121" t="s">
        <v>30</v>
      </c>
      <c r="B46" s="118">
        <v>40000</v>
      </c>
      <c r="C46" s="55">
        <v>40000</v>
      </c>
      <c r="D46" s="49">
        <v>40000</v>
      </c>
      <c r="E46" s="263">
        <v>0</v>
      </c>
      <c r="F46" s="26"/>
      <c r="G46" s="53"/>
      <c r="H46" s="66"/>
      <c r="I46" s="66"/>
      <c r="J46" s="69"/>
      <c r="L46" s="16"/>
      <c r="M46" s="57"/>
      <c r="N46" s="16"/>
      <c r="O46" s="57"/>
      <c r="P46" s="70"/>
      <c r="Q46" s="70"/>
      <c r="R46" s="70"/>
    </row>
    <row r="47" spans="1:18" s="2" customFormat="1" ht="12.75" customHeight="1">
      <c r="A47" s="121" t="s">
        <v>31</v>
      </c>
      <c r="B47" s="118">
        <v>120000</v>
      </c>
      <c r="C47" s="55">
        <v>120000</v>
      </c>
      <c r="D47" s="49">
        <v>120000</v>
      </c>
      <c r="E47" s="263">
        <v>0</v>
      </c>
      <c r="F47" s="26"/>
      <c r="G47" s="53"/>
      <c r="H47" s="66"/>
      <c r="I47" s="66"/>
      <c r="J47" s="69"/>
      <c r="L47" s="16"/>
      <c r="M47" s="57"/>
      <c r="N47" s="16"/>
      <c r="O47" s="57"/>
      <c r="P47" s="70"/>
      <c r="Q47" s="70"/>
      <c r="R47" s="70"/>
    </row>
    <row r="48" spans="1:18" s="2" customFormat="1" ht="12.75" customHeight="1">
      <c r="A48" s="121" t="s">
        <v>32</v>
      </c>
      <c r="B48" s="118">
        <v>60000</v>
      </c>
      <c r="C48" s="55">
        <v>60000</v>
      </c>
      <c r="D48" s="49">
        <v>60000</v>
      </c>
      <c r="E48" s="263">
        <v>0</v>
      </c>
      <c r="F48" s="26"/>
      <c r="G48" s="53"/>
      <c r="H48" s="66"/>
      <c r="I48" s="66"/>
      <c r="J48" s="69"/>
      <c r="L48" s="16"/>
      <c r="M48" s="57"/>
      <c r="N48" s="16"/>
      <c r="O48" s="57"/>
      <c r="P48" s="70"/>
      <c r="Q48" s="70"/>
      <c r="R48" s="70"/>
    </row>
    <row r="49" spans="1:18" s="2" customFormat="1" ht="12.75" customHeight="1">
      <c r="A49" s="121" t="s">
        <v>33</v>
      </c>
      <c r="B49" s="118">
        <v>20000</v>
      </c>
      <c r="C49" s="55">
        <v>20000</v>
      </c>
      <c r="D49" s="49">
        <v>20000</v>
      </c>
      <c r="E49" s="263">
        <v>0</v>
      </c>
      <c r="F49" s="26"/>
      <c r="G49" s="53"/>
      <c r="H49" s="66"/>
      <c r="I49" s="66"/>
      <c r="J49" s="69"/>
      <c r="L49" s="16"/>
      <c r="M49" s="57"/>
      <c r="N49" s="16"/>
      <c r="O49" s="57"/>
      <c r="P49" s="70"/>
      <c r="Q49" s="70"/>
      <c r="R49" s="70"/>
    </row>
    <row r="50" spans="1:18" s="2" customFormat="1" ht="12.75" customHeight="1">
      <c r="A50" s="133" t="s">
        <v>52</v>
      </c>
      <c r="B50" s="118">
        <v>15000</v>
      </c>
      <c r="C50" s="55">
        <v>15000</v>
      </c>
      <c r="D50" s="49">
        <v>15000</v>
      </c>
      <c r="E50" s="263">
        <v>0</v>
      </c>
      <c r="F50" s="26"/>
      <c r="G50" s="53"/>
      <c r="H50" s="66"/>
      <c r="I50" s="66"/>
      <c r="J50" s="69"/>
      <c r="L50" s="16"/>
      <c r="M50" s="57"/>
      <c r="N50" s="16"/>
      <c r="O50" s="57"/>
      <c r="P50" s="70"/>
      <c r="Q50" s="70"/>
      <c r="R50" s="70"/>
    </row>
    <row r="51" spans="1:18" s="2" customFormat="1" ht="12.75" customHeight="1">
      <c r="A51" s="121" t="s">
        <v>47</v>
      </c>
      <c r="B51" s="118">
        <v>50000</v>
      </c>
      <c r="C51" s="55">
        <v>50000</v>
      </c>
      <c r="D51" s="49">
        <v>50000</v>
      </c>
      <c r="E51" s="263">
        <v>0</v>
      </c>
      <c r="F51" s="26"/>
      <c r="G51" s="53"/>
      <c r="H51" s="66"/>
      <c r="I51" s="66"/>
      <c r="J51" s="69"/>
      <c r="L51" s="16"/>
      <c r="M51" s="57"/>
      <c r="N51" s="16"/>
      <c r="O51" s="57"/>
      <c r="P51" s="70"/>
      <c r="Q51" s="70"/>
      <c r="R51" s="70"/>
    </row>
    <row r="52" spans="1:18" s="2" customFormat="1" ht="12.75" customHeight="1">
      <c r="A52" s="121" t="s">
        <v>48</v>
      </c>
      <c r="B52" s="118">
        <v>30000</v>
      </c>
      <c r="C52" s="55">
        <v>30000</v>
      </c>
      <c r="D52" s="49">
        <v>30000</v>
      </c>
      <c r="E52" s="263">
        <v>0</v>
      </c>
      <c r="F52" s="26"/>
      <c r="G52" s="53"/>
      <c r="H52" s="66"/>
      <c r="I52" s="66"/>
      <c r="J52" s="69"/>
      <c r="L52" s="16"/>
      <c r="M52" s="57"/>
      <c r="N52" s="16"/>
      <c r="O52" s="57"/>
      <c r="P52" s="70"/>
      <c r="Q52" s="70"/>
      <c r="R52" s="70"/>
    </row>
    <row r="53" spans="1:18" s="2" customFormat="1" ht="12.75" customHeight="1">
      <c r="A53" s="121" t="s">
        <v>49</v>
      </c>
      <c r="B53" s="118">
        <v>60000</v>
      </c>
      <c r="C53" s="55">
        <v>60000</v>
      </c>
      <c r="D53" s="49">
        <v>100000</v>
      </c>
      <c r="E53" s="266">
        <f>D53-C53</f>
        <v>40000</v>
      </c>
      <c r="F53" s="26"/>
      <c r="G53" s="53"/>
      <c r="H53" s="66"/>
      <c r="I53" s="66"/>
      <c r="J53" s="69"/>
      <c r="L53" s="16"/>
      <c r="M53" s="57"/>
      <c r="N53" s="16"/>
      <c r="O53" s="57"/>
      <c r="P53" s="70"/>
      <c r="Q53" s="70"/>
      <c r="R53" s="70"/>
    </row>
    <row r="54" spans="1:18" s="2" customFormat="1" ht="12.75" customHeight="1">
      <c r="A54" s="121" t="s">
        <v>43</v>
      </c>
      <c r="B54" s="118">
        <v>200000</v>
      </c>
      <c r="C54" s="55">
        <v>200000</v>
      </c>
      <c r="D54" s="49">
        <v>400000</v>
      </c>
      <c r="E54" s="266">
        <f>D54-C54</f>
        <v>200000</v>
      </c>
      <c r="F54" s="26"/>
      <c r="G54" s="53"/>
      <c r="H54" s="66"/>
      <c r="I54" s="66"/>
      <c r="J54" s="69"/>
      <c r="L54" s="16"/>
      <c r="M54" s="57"/>
      <c r="N54" s="16"/>
      <c r="O54" s="57"/>
      <c r="P54" s="70"/>
      <c r="Q54" s="70"/>
      <c r="R54" s="70"/>
    </row>
    <row r="55" spans="1:18" s="2" customFormat="1" ht="12.75" customHeight="1">
      <c r="A55" s="121" t="s">
        <v>54</v>
      </c>
      <c r="B55" s="118">
        <v>20000</v>
      </c>
      <c r="C55" s="55">
        <v>20000</v>
      </c>
      <c r="D55" s="49">
        <v>20000</v>
      </c>
      <c r="E55" s="263">
        <v>0</v>
      </c>
      <c r="F55" s="26"/>
      <c r="G55" s="53"/>
      <c r="H55" s="66"/>
      <c r="I55" s="66"/>
      <c r="J55" s="69"/>
      <c r="L55" s="16"/>
      <c r="M55" s="57"/>
      <c r="N55" s="16"/>
      <c r="O55" s="57"/>
      <c r="P55" s="70"/>
      <c r="Q55" s="70"/>
      <c r="R55" s="70"/>
    </row>
    <row r="56" spans="1:18" s="2" customFormat="1" ht="12.75" customHeight="1">
      <c r="A56" s="121" t="s">
        <v>92</v>
      </c>
      <c r="B56" s="118"/>
      <c r="C56" s="55"/>
      <c r="D56" s="49">
        <v>20000</v>
      </c>
      <c r="E56" s="266">
        <v>20000</v>
      </c>
      <c r="F56" s="26"/>
      <c r="G56" s="53"/>
      <c r="H56" s="66"/>
      <c r="I56" s="66"/>
      <c r="J56" s="69"/>
      <c r="L56" s="16"/>
      <c r="M56" s="57"/>
      <c r="N56" s="16"/>
      <c r="O56" s="57"/>
      <c r="P56" s="70"/>
      <c r="Q56" s="70"/>
      <c r="R56" s="70"/>
    </row>
    <row r="57" spans="1:18" s="2" customFormat="1" ht="12.75" customHeight="1">
      <c r="A57" s="121" t="s">
        <v>93</v>
      </c>
      <c r="B57" s="118">
        <v>20000</v>
      </c>
      <c r="C57" s="55">
        <v>20000</v>
      </c>
      <c r="D57" s="49">
        <v>20000</v>
      </c>
      <c r="E57" s="263">
        <v>0</v>
      </c>
      <c r="F57" s="26"/>
      <c r="G57" s="53"/>
      <c r="H57" s="66"/>
      <c r="I57" s="66"/>
      <c r="J57" s="69"/>
      <c r="L57" s="16"/>
      <c r="M57" s="57"/>
      <c r="N57" s="16"/>
      <c r="O57" s="57"/>
      <c r="P57" s="70"/>
      <c r="Q57" s="70"/>
      <c r="R57" s="70"/>
    </row>
    <row r="58" spans="1:18" s="2" customFormat="1" ht="12.75" customHeight="1">
      <c r="A58" s="121" t="s">
        <v>70</v>
      </c>
      <c r="B58" s="118">
        <v>20000</v>
      </c>
      <c r="C58" s="55">
        <v>20000</v>
      </c>
      <c r="D58" s="49">
        <v>50000</v>
      </c>
      <c r="E58" s="266">
        <f>D58-C58</f>
        <v>30000</v>
      </c>
      <c r="F58" s="26"/>
      <c r="G58" s="53"/>
      <c r="H58" s="66"/>
      <c r="I58" s="66"/>
      <c r="J58" s="69"/>
      <c r="L58" s="16"/>
      <c r="M58" s="57"/>
      <c r="N58" s="16"/>
      <c r="O58" s="57"/>
      <c r="P58" s="70"/>
      <c r="Q58" s="70"/>
      <c r="R58" s="70"/>
    </row>
    <row r="59" spans="1:18" s="2" customFormat="1" ht="12.75" customHeight="1">
      <c r="A59" s="121" t="s">
        <v>94</v>
      </c>
      <c r="B59" s="144"/>
      <c r="C59" s="55"/>
      <c r="D59" s="49">
        <v>10000</v>
      </c>
      <c r="E59" s="266">
        <v>10000</v>
      </c>
      <c r="F59" s="26"/>
      <c r="G59" s="53"/>
      <c r="H59" s="66"/>
      <c r="I59" s="66"/>
      <c r="J59" s="69"/>
      <c r="L59" s="16"/>
      <c r="M59" s="57"/>
      <c r="N59" s="16"/>
      <c r="O59" s="57"/>
      <c r="P59" s="70"/>
      <c r="Q59" s="70"/>
      <c r="R59" s="70"/>
    </row>
    <row r="60" spans="1:18" s="2" customFormat="1" ht="12.75" customHeight="1">
      <c r="A60" s="271" t="s">
        <v>84</v>
      </c>
      <c r="B60" s="272">
        <v>20000</v>
      </c>
      <c r="C60" s="46">
        <v>20000</v>
      </c>
      <c r="D60" s="42">
        <v>20000</v>
      </c>
      <c r="E60" s="264">
        <v>0</v>
      </c>
      <c r="F60" s="26"/>
      <c r="G60" s="53"/>
      <c r="H60" s="66"/>
      <c r="I60" s="66"/>
      <c r="J60" s="69"/>
      <c r="L60" s="16"/>
      <c r="M60" s="57"/>
      <c r="N60" s="16"/>
      <c r="O60" s="57"/>
      <c r="P60" s="70"/>
      <c r="Q60" s="70"/>
      <c r="R60" s="70"/>
    </row>
    <row r="61" spans="1:18" s="2" customFormat="1" ht="12.75" customHeight="1">
      <c r="A61" s="270" t="s">
        <v>75</v>
      </c>
      <c r="B61" s="165"/>
      <c r="C61" s="168">
        <v>100000</v>
      </c>
      <c r="D61" s="58">
        <v>100000</v>
      </c>
      <c r="E61" s="262">
        <v>0</v>
      </c>
      <c r="F61" s="26"/>
      <c r="G61" s="53"/>
      <c r="H61" s="66"/>
      <c r="I61" s="66"/>
      <c r="J61" s="69"/>
      <c r="L61" s="16"/>
      <c r="M61" s="57"/>
      <c r="N61" s="16"/>
      <c r="O61" s="57"/>
      <c r="P61" s="70"/>
      <c r="Q61" s="70"/>
      <c r="R61" s="70"/>
    </row>
    <row r="62" spans="1:18" s="108" customFormat="1" ht="12.75" customHeight="1">
      <c r="A62" s="166" t="s">
        <v>53</v>
      </c>
      <c r="B62" s="167">
        <v>68000</v>
      </c>
      <c r="C62" s="46">
        <v>68000</v>
      </c>
      <c r="D62" s="46">
        <v>68000</v>
      </c>
      <c r="E62" s="264">
        <v>0</v>
      </c>
      <c r="F62" s="26"/>
      <c r="G62" s="53"/>
      <c r="H62" s="84"/>
      <c r="I62" s="84"/>
      <c r="J62" s="70"/>
      <c r="K62" s="284" t="s">
        <v>108</v>
      </c>
      <c r="L62" s="16"/>
      <c r="M62" s="57"/>
      <c r="N62" s="16"/>
      <c r="O62" s="57"/>
      <c r="P62" s="70"/>
      <c r="Q62" s="70"/>
      <c r="R62" s="70"/>
    </row>
    <row r="63" spans="1:18" s="11" customFormat="1" ht="14.25" thickBot="1">
      <c r="A63" s="177" t="s">
        <v>13</v>
      </c>
      <c r="B63" s="178">
        <f>SUM(B39:B62)</f>
        <v>10328617</v>
      </c>
      <c r="C63" s="59">
        <f>SUM(C39:C62)</f>
        <v>10430642</v>
      </c>
      <c r="D63" s="59">
        <f>SUM(D39:D62)</f>
        <v>12838604</v>
      </c>
      <c r="E63" s="265"/>
      <c r="F63" s="56"/>
      <c r="G63" s="56"/>
      <c r="H63" s="82"/>
      <c r="I63" s="82"/>
      <c r="J63" s="83"/>
      <c r="L63" s="134"/>
      <c r="M63" s="52"/>
      <c r="N63" s="16"/>
      <c r="O63" s="52"/>
      <c r="P63" s="52"/>
      <c r="Q63" s="52"/>
      <c r="R63" s="52"/>
    </row>
    <row r="64" spans="1:15" ht="13.5">
      <c r="A64" s="67"/>
      <c r="B64" s="67"/>
      <c r="C64" s="67"/>
      <c r="D64" s="63"/>
      <c r="L64" s="29"/>
      <c r="N64" s="28"/>
      <c r="O64" s="29"/>
    </row>
    <row r="65" spans="1:15" ht="18" thickBot="1">
      <c r="A65" s="874" t="s">
        <v>14</v>
      </c>
      <c r="B65" s="874"/>
      <c r="C65" s="874"/>
      <c r="D65" s="874"/>
      <c r="E65" s="874"/>
      <c r="F65" s="874"/>
      <c r="G65" s="874"/>
      <c r="L65" s="29"/>
      <c r="N65" s="29"/>
      <c r="O65" s="29"/>
    </row>
    <row r="66" spans="1:15" ht="15">
      <c r="A66" s="89" t="s">
        <v>0</v>
      </c>
      <c r="B66" s="61" t="s">
        <v>17</v>
      </c>
      <c r="C66" s="38" t="s">
        <v>23</v>
      </c>
      <c r="D66" s="38" t="s">
        <v>79</v>
      </c>
      <c r="E66" s="73" t="s">
        <v>80</v>
      </c>
      <c r="F66" s="9"/>
      <c r="G66" s="36"/>
      <c r="N66" s="135"/>
      <c r="O66" s="29"/>
    </row>
    <row r="67" spans="1:20" ht="15.75" thickBot="1">
      <c r="A67" s="102"/>
      <c r="B67" s="62" t="s">
        <v>22</v>
      </c>
      <c r="C67" s="39" t="s">
        <v>22</v>
      </c>
      <c r="D67" s="39">
        <v>2016</v>
      </c>
      <c r="E67" s="74"/>
      <c r="F67" s="9"/>
      <c r="G67" s="36"/>
      <c r="N67" s="29"/>
      <c r="O67" s="29"/>
      <c r="P67" s="29"/>
      <c r="Q67" s="29"/>
      <c r="R67" s="29"/>
      <c r="S67" s="29"/>
      <c r="T67" s="29"/>
    </row>
    <row r="68" spans="1:20" s="2" customFormat="1" ht="12.75" customHeight="1">
      <c r="A68" s="109" t="s">
        <v>71</v>
      </c>
      <c r="B68" s="96">
        <v>169000</v>
      </c>
      <c r="C68" s="160">
        <v>50000</v>
      </c>
      <c r="D68" s="47">
        <v>50000</v>
      </c>
      <c r="E68" s="220">
        <v>0</v>
      </c>
      <c r="F68" s="4"/>
      <c r="G68" s="30"/>
      <c r="N68" s="70"/>
      <c r="O68" s="70"/>
      <c r="P68" s="70"/>
      <c r="Q68" s="70"/>
      <c r="R68" s="70"/>
      <c r="S68" s="70"/>
      <c r="T68" s="70"/>
    </row>
    <row r="69" spans="1:20" s="2" customFormat="1" ht="12.75" customHeight="1">
      <c r="A69" s="161" t="s">
        <v>36</v>
      </c>
      <c r="B69" s="96"/>
      <c r="C69" s="125">
        <v>11000</v>
      </c>
      <c r="D69" s="42">
        <v>11000</v>
      </c>
      <c r="E69" s="222">
        <v>0</v>
      </c>
      <c r="F69" s="4"/>
      <c r="G69" s="30"/>
      <c r="K69" s="286" t="s">
        <v>115</v>
      </c>
      <c r="L69" s="245"/>
      <c r="M69" s="246"/>
      <c r="N69" s="70"/>
      <c r="O69" s="70"/>
      <c r="P69" s="70"/>
      <c r="Q69" s="70"/>
      <c r="R69" s="70"/>
      <c r="S69" s="70"/>
      <c r="T69" s="70"/>
    </row>
    <row r="70" spans="1:20" s="2" customFormat="1" ht="12.75" customHeight="1">
      <c r="A70" s="161" t="s">
        <v>37</v>
      </c>
      <c r="B70" s="96"/>
      <c r="C70" s="126">
        <v>108000</v>
      </c>
      <c r="D70" s="58">
        <v>108000</v>
      </c>
      <c r="E70" s="241">
        <v>0</v>
      </c>
      <c r="F70" s="4"/>
      <c r="G70" s="30"/>
      <c r="K70" s="127"/>
      <c r="L70" s="127"/>
      <c r="N70" s="70"/>
      <c r="O70" s="70"/>
      <c r="P70" s="70"/>
      <c r="Q70" s="70"/>
      <c r="R70" s="70"/>
      <c r="S70" s="70"/>
      <c r="T70" s="70"/>
    </row>
    <row r="71" spans="1:20" s="2" customFormat="1" ht="12.75" customHeight="1">
      <c r="A71" s="103" t="s">
        <v>1</v>
      </c>
      <c r="B71" s="86">
        <v>50000</v>
      </c>
      <c r="C71" s="49">
        <v>50000</v>
      </c>
      <c r="D71" s="49">
        <v>25000</v>
      </c>
      <c r="E71" s="226">
        <v>0</v>
      </c>
      <c r="F71" s="4"/>
      <c r="G71" s="30"/>
      <c r="N71" s="70"/>
      <c r="O71" s="70"/>
      <c r="P71" s="70"/>
      <c r="Q71" s="70"/>
      <c r="R71" s="70"/>
      <c r="S71" s="70"/>
      <c r="T71" s="70"/>
    </row>
    <row r="72" spans="1:20" s="2" customFormat="1" ht="12.75" customHeight="1">
      <c r="A72" s="103" t="s">
        <v>8</v>
      </c>
      <c r="B72" s="86">
        <v>6000</v>
      </c>
      <c r="C72" s="42">
        <v>6000</v>
      </c>
      <c r="D72" s="42">
        <v>6000</v>
      </c>
      <c r="E72" s="222">
        <v>0</v>
      </c>
      <c r="F72" s="4"/>
      <c r="G72" s="26"/>
      <c r="N72" s="70"/>
      <c r="O72" s="70"/>
      <c r="P72" s="70"/>
      <c r="Q72" s="70"/>
      <c r="R72" s="70"/>
      <c r="S72" s="70"/>
      <c r="T72" s="70"/>
    </row>
    <row r="73" spans="1:20" s="2" customFormat="1" ht="12.75" customHeight="1">
      <c r="A73" s="103" t="s">
        <v>16</v>
      </c>
      <c r="B73" s="86">
        <v>95000</v>
      </c>
      <c r="C73" s="42">
        <v>95000</v>
      </c>
      <c r="D73" s="42">
        <v>95000</v>
      </c>
      <c r="E73" s="222">
        <f>D73-C73</f>
        <v>0</v>
      </c>
      <c r="F73" s="4"/>
      <c r="G73" s="30"/>
      <c r="K73" s="124" t="s">
        <v>95</v>
      </c>
      <c r="N73" s="70"/>
      <c r="O73" s="70"/>
      <c r="P73" s="70"/>
      <c r="Q73" s="70"/>
      <c r="R73" s="70"/>
      <c r="S73" s="70"/>
      <c r="T73" s="70"/>
    </row>
    <row r="74" spans="1:20" s="2" customFormat="1" ht="12.75" customHeight="1" thickBot="1">
      <c r="A74" s="97" t="s">
        <v>10</v>
      </c>
      <c r="B74" s="95">
        <v>290000</v>
      </c>
      <c r="C74" s="43">
        <v>290000</v>
      </c>
      <c r="D74" s="202">
        <v>318000</v>
      </c>
      <c r="E74" s="227">
        <f>D74-C74</f>
        <v>28000</v>
      </c>
      <c r="F74" s="4"/>
      <c r="G74" s="30"/>
      <c r="K74" s="2" t="s">
        <v>117</v>
      </c>
      <c r="M74" s="70"/>
      <c r="N74" s="70"/>
      <c r="P74" s="70"/>
      <c r="Q74" s="70"/>
      <c r="R74" s="70"/>
      <c r="S74" s="70"/>
      <c r="T74" s="70"/>
    </row>
    <row r="75" spans="1:20" s="11" customFormat="1" ht="14.25" thickBot="1">
      <c r="A75" s="34" t="s">
        <v>2</v>
      </c>
      <c r="B75" s="138">
        <f>SUM(B68:B74)</f>
        <v>610000</v>
      </c>
      <c r="C75" s="59">
        <f>SUM(C68:C74)</f>
        <v>610000</v>
      </c>
      <c r="D75" s="59">
        <f>SUM(D68:D74)</f>
        <v>613000</v>
      </c>
      <c r="E75" s="225"/>
      <c r="F75" s="56"/>
      <c r="G75" s="35"/>
      <c r="M75" s="16"/>
      <c r="N75" s="52"/>
      <c r="P75" s="52"/>
      <c r="Q75" s="52"/>
      <c r="R75" s="52"/>
      <c r="S75" s="52"/>
      <c r="T75" s="52"/>
    </row>
    <row r="76" spans="1:20" ht="15.75" thickBot="1">
      <c r="A76" s="3"/>
      <c r="B76" s="17"/>
      <c r="C76" s="22"/>
      <c r="D76" s="22"/>
      <c r="E76" s="15"/>
      <c r="F76" s="15"/>
      <c r="G76" s="18"/>
      <c r="M76" s="16"/>
      <c r="N76" s="29"/>
      <c r="P76" s="29"/>
      <c r="Q76" s="29"/>
      <c r="R76" s="29"/>
      <c r="S76" s="29"/>
      <c r="T76" s="29"/>
    </row>
    <row r="77" spans="1:20" ht="16.5" thickBot="1">
      <c r="A77" s="19" t="s">
        <v>3</v>
      </c>
      <c r="B77" s="17"/>
      <c r="C77" s="22"/>
      <c r="D77" s="22"/>
      <c r="E77" s="32"/>
      <c r="F77" s="32"/>
      <c r="G77" s="18"/>
      <c r="M77" s="16"/>
      <c r="N77" s="29"/>
      <c r="P77" s="29"/>
      <c r="Q77" s="29"/>
      <c r="R77" s="29"/>
      <c r="S77" s="29"/>
      <c r="T77" s="29"/>
    </row>
    <row r="78" spans="1:20" ht="12.75" customHeight="1">
      <c r="A78" s="156" t="s">
        <v>11</v>
      </c>
      <c r="B78" s="87">
        <v>44000</v>
      </c>
      <c r="C78" s="47">
        <v>44000</v>
      </c>
      <c r="D78" s="201">
        <v>21000</v>
      </c>
      <c r="E78" s="258">
        <f>D78-C78</f>
        <v>-23000</v>
      </c>
      <c r="F78" s="30"/>
      <c r="G78" s="30"/>
      <c r="K78" s="124" t="s">
        <v>111</v>
      </c>
      <c r="L78" s="124"/>
      <c r="M78" s="285"/>
      <c r="N78" s="278"/>
      <c r="O78" s="124"/>
      <c r="P78" s="278"/>
      <c r="Q78" s="278"/>
      <c r="R78" s="278"/>
      <c r="S78" s="278"/>
      <c r="T78" s="29"/>
    </row>
    <row r="79" spans="1:20" ht="14.25" thickBot="1">
      <c r="A79" s="40" t="s">
        <v>4</v>
      </c>
      <c r="B79" s="88">
        <v>566000</v>
      </c>
      <c r="C79" s="50">
        <v>566000</v>
      </c>
      <c r="D79" s="50">
        <v>592000</v>
      </c>
      <c r="E79" s="259">
        <v>16000</v>
      </c>
      <c r="F79" s="54"/>
      <c r="G79" s="72"/>
      <c r="K79" s="124" t="s">
        <v>114</v>
      </c>
      <c r="L79" s="124"/>
      <c r="M79" s="277"/>
      <c r="N79" s="278"/>
      <c r="P79" s="29"/>
      <c r="Q79" s="29"/>
      <c r="R79" s="29"/>
      <c r="S79" s="29"/>
      <c r="T79" s="29"/>
    </row>
    <row r="80" spans="1:20" s="11" customFormat="1" ht="14.25" thickBot="1">
      <c r="A80" s="37" t="s">
        <v>5</v>
      </c>
      <c r="B80" s="136">
        <f>SUM(B78:B79)</f>
        <v>610000</v>
      </c>
      <c r="C80" s="44">
        <f>SUM(C78:C79)</f>
        <v>610000</v>
      </c>
      <c r="D80" s="44">
        <f>SUM(D78:D79)</f>
        <v>613000</v>
      </c>
      <c r="E80" s="257"/>
      <c r="F80" s="35"/>
      <c r="G80" s="56"/>
      <c r="M80" s="16"/>
      <c r="N80" s="52"/>
      <c r="P80" s="52"/>
      <c r="Q80" s="52"/>
      <c r="R80" s="52"/>
      <c r="S80" s="52"/>
      <c r="T80" s="52"/>
    </row>
    <row r="81" spans="1:20" ht="13.5">
      <c r="A81" s="20"/>
      <c r="D81" s="22"/>
      <c r="M81" s="16"/>
      <c r="N81" s="29"/>
      <c r="P81" s="29"/>
      <c r="Q81" s="29"/>
      <c r="R81" s="29"/>
      <c r="S81" s="29"/>
      <c r="T81" s="29"/>
    </row>
    <row r="82" spans="1:20" ht="18" thickBot="1">
      <c r="A82" s="875" t="s">
        <v>15</v>
      </c>
      <c r="B82" s="875"/>
      <c r="C82" s="875"/>
      <c r="D82" s="875"/>
      <c r="E82" s="875"/>
      <c r="F82" s="875"/>
      <c r="G82" s="875"/>
      <c r="H82" s="875"/>
      <c r="I82" s="875"/>
      <c r="J82" s="875"/>
      <c r="M82" s="16"/>
      <c r="N82" s="29"/>
      <c r="P82" s="29"/>
      <c r="Q82" s="29"/>
      <c r="R82" s="29"/>
      <c r="S82" s="29"/>
      <c r="T82" s="29"/>
    </row>
    <row r="83" spans="1:20" ht="15">
      <c r="A83" s="89" t="s">
        <v>0</v>
      </c>
      <c r="B83" s="61" t="s">
        <v>17</v>
      </c>
      <c r="C83" s="38" t="s">
        <v>23</v>
      </c>
      <c r="D83" s="38" t="s">
        <v>79</v>
      </c>
      <c r="E83" s="73" t="s">
        <v>80</v>
      </c>
      <c r="F83" s="9"/>
      <c r="G83" s="36"/>
      <c r="H83" s="1"/>
      <c r="I83" s="1"/>
      <c r="J83" s="41"/>
      <c r="M83" s="16"/>
      <c r="N83" s="29"/>
      <c r="P83" s="29"/>
      <c r="Q83" s="29"/>
      <c r="R83" s="29"/>
      <c r="S83" s="29"/>
      <c r="T83" s="29"/>
    </row>
    <row r="84" spans="1:20" ht="15.75" thickBot="1">
      <c r="A84" s="102"/>
      <c r="B84" s="62" t="s">
        <v>22</v>
      </c>
      <c r="C84" s="39" t="s">
        <v>22</v>
      </c>
      <c r="D84" s="39">
        <v>2016</v>
      </c>
      <c r="E84" s="74"/>
      <c r="F84" s="9"/>
      <c r="G84" s="36"/>
      <c r="H84" s="1"/>
      <c r="I84" s="1"/>
      <c r="J84" s="41"/>
      <c r="M84" s="16"/>
      <c r="N84" s="29"/>
      <c r="P84" s="29"/>
      <c r="Q84" s="29"/>
      <c r="R84" s="29"/>
      <c r="S84" s="29"/>
      <c r="T84" s="29"/>
    </row>
    <row r="85" spans="1:20" ht="13.5">
      <c r="A85" s="110" t="s">
        <v>72</v>
      </c>
      <c r="B85" s="98">
        <v>115000</v>
      </c>
      <c r="C85" s="171">
        <v>60000</v>
      </c>
      <c r="D85" s="47">
        <v>60000</v>
      </c>
      <c r="E85" s="228">
        <v>0</v>
      </c>
      <c r="F85" s="4"/>
      <c r="G85" s="4"/>
      <c r="H85" s="31"/>
      <c r="I85" s="31"/>
      <c r="J85" s="10"/>
      <c r="M85" s="16"/>
      <c r="N85" s="29"/>
      <c r="P85" s="29"/>
      <c r="Q85" s="29"/>
      <c r="R85" s="29"/>
      <c r="S85" s="29"/>
      <c r="T85" s="29"/>
    </row>
    <row r="86" spans="1:20" ht="13.5">
      <c r="A86" s="162" t="s">
        <v>55</v>
      </c>
      <c r="B86" s="78"/>
      <c r="C86" s="128">
        <v>5000</v>
      </c>
      <c r="D86" s="42">
        <v>5000</v>
      </c>
      <c r="E86" s="229">
        <v>0</v>
      </c>
      <c r="F86" s="4"/>
      <c r="G86" s="4"/>
      <c r="H86" s="31"/>
      <c r="I86" s="31"/>
      <c r="J86" s="10"/>
      <c r="M86" s="16"/>
      <c r="N86" s="29"/>
      <c r="P86" s="29"/>
      <c r="Q86" s="29"/>
      <c r="R86" s="29"/>
      <c r="S86" s="29"/>
      <c r="T86" s="29"/>
    </row>
    <row r="87" spans="1:20" ht="13.5">
      <c r="A87" s="162" t="s">
        <v>56</v>
      </c>
      <c r="B87" s="78"/>
      <c r="C87" s="140">
        <v>50000</v>
      </c>
      <c r="D87" s="58">
        <v>50000</v>
      </c>
      <c r="E87" s="230">
        <v>0</v>
      </c>
      <c r="F87" s="4"/>
      <c r="G87" s="4"/>
      <c r="H87" s="31"/>
      <c r="I87" s="31"/>
      <c r="J87" s="10"/>
      <c r="M87" s="16"/>
      <c r="N87" s="29"/>
      <c r="P87" s="29"/>
      <c r="Q87" s="29"/>
      <c r="R87" s="29"/>
      <c r="S87" s="29"/>
      <c r="T87" s="29"/>
    </row>
    <row r="88" spans="1:20" ht="13.5">
      <c r="A88" s="104" t="s">
        <v>1</v>
      </c>
      <c r="B88" s="75">
        <v>7000</v>
      </c>
      <c r="C88" s="60">
        <v>7000</v>
      </c>
      <c r="D88" s="49">
        <v>25000</v>
      </c>
      <c r="E88" s="269">
        <f>D88-C88</f>
        <v>18000</v>
      </c>
      <c r="F88" s="4"/>
      <c r="G88" s="4"/>
      <c r="H88" s="31"/>
      <c r="I88" s="31"/>
      <c r="J88" s="10"/>
      <c r="K88" s="124" t="s">
        <v>112</v>
      </c>
      <c r="M88" s="16"/>
      <c r="N88" s="29"/>
      <c r="P88" s="29"/>
      <c r="Q88" s="29"/>
      <c r="R88" s="29"/>
      <c r="S88" s="29"/>
      <c r="T88" s="29"/>
    </row>
    <row r="89" spans="1:20" ht="13.5">
      <c r="A89" s="104" t="s">
        <v>8</v>
      </c>
      <c r="B89" s="75">
        <v>36000</v>
      </c>
      <c r="C89" s="105">
        <v>36000</v>
      </c>
      <c r="D89" s="42">
        <v>36000</v>
      </c>
      <c r="E89" s="229">
        <v>0</v>
      </c>
      <c r="F89" s="4"/>
      <c r="G89" s="4"/>
      <c r="H89" s="31"/>
      <c r="I89" s="31"/>
      <c r="J89" s="10"/>
      <c r="K89" s="286" t="s">
        <v>113</v>
      </c>
      <c r="M89" s="16"/>
      <c r="N89" s="29"/>
      <c r="P89" s="29"/>
      <c r="Q89" s="29"/>
      <c r="R89" s="29"/>
      <c r="S89" s="29"/>
      <c r="T89" s="29"/>
    </row>
    <row r="90" spans="1:20" ht="13.5">
      <c r="A90" s="104" t="s">
        <v>16</v>
      </c>
      <c r="B90" s="75">
        <v>311000</v>
      </c>
      <c r="C90" s="42">
        <v>311000</v>
      </c>
      <c r="D90" s="48">
        <v>311000</v>
      </c>
      <c r="E90" s="232">
        <v>0</v>
      </c>
      <c r="F90" s="4"/>
      <c r="G90" s="4"/>
      <c r="H90" s="31"/>
      <c r="I90" s="31"/>
      <c r="J90" s="10"/>
      <c r="M90" s="16"/>
      <c r="N90" s="29"/>
      <c r="P90" s="29"/>
      <c r="Q90" s="29"/>
      <c r="R90" s="29"/>
      <c r="S90" s="29"/>
      <c r="T90" s="29"/>
    </row>
    <row r="91" spans="1:20" ht="13.5">
      <c r="A91" s="139" t="s">
        <v>9</v>
      </c>
      <c r="B91" s="76"/>
      <c r="C91" s="42"/>
      <c r="D91" s="48">
        <v>1000</v>
      </c>
      <c r="E91" s="256">
        <v>1000</v>
      </c>
      <c r="F91" s="4"/>
      <c r="G91" s="4"/>
      <c r="H91" s="31"/>
      <c r="I91" s="31"/>
      <c r="J91" s="10"/>
      <c r="K91" s="124" t="s">
        <v>119</v>
      </c>
      <c r="L91" s="124"/>
      <c r="M91" s="285"/>
      <c r="N91" s="278"/>
      <c r="O91" s="124"/>
      <c r="P91" s="29"/>
      <c r="Q91" s="29"/>
      <c r="R91" s="29"/>
      <c r="S91" s="29"/>
      <c r="T91" s="29"/>
    </row>
    <row r="92" spans="1:20" ht="13.5">
      <c r="A92" s="139" t="s">
        <v>57</v>
      </c>
      <c r="B92" s="76">
        <v>2500</v>
      </c>
      <c r="C92" s="125">
        <v>2500</v>
      </c>
      <c r="D92" s="42">
        <v>2500</v>
      </c>
      <c r="E92" s="233">
        <v>0</v>
      </c>
      <c r="F92" s="4"/>
      <c r="G92" s="4"/>
      <c r="H92" s="31"/>
      <c r="I92" s="31"/>
      <c r="J92" s="10"/>
      <c r="M92" s="16"/>
      <c r="N92" s="29"/>
      <c r="P92" s="29"/>
      <c r="Q92" s="29"/>
      <c r="R92" s="29"/>
      <c r="S92" s="29"/>
      <c r="T92" s="29"/>
    </row>
    <row r="93" spans="1:20" ht="13.5">
      <c r="A93" s="139" t="s">
        <v>59</v>
      </c>
      <c r="B93" s="76">
        <v>25000</v>
      </c>
      <c r="C93" s="125">
        <v>25000</v>
      </c>
      <c r="D93" s="42">
        <v>25000</v>
      </c>
      <c r="E93" s="234">
        <v>0</v>
      </c>
      <c r="F93" s="4"/>
      <c r="G93" s="4"/>
      <c r="H93" s="31"/>
      <c r="I93" s="31"/>
      <c r="J93" s="10"/>
      <c r="M93" s="16"/>
      <c r="N93" s="29"/>
      <c r="P93" s="29"/>
      <c r="Q93" s="29"/>
      <c r="R93" s="29"/>
      <c r="S93" s="29"/>
      <c r="T93" s="29"/>
    </row>
    <row r="94" spans="1:20" ht="13.5">
      <c r="A94" s="139" t="s">
        <v>85</v>
      </c>
      <c r="B94" s="76"/>
      <c r="C94" s="125">
        <v>15000</v>
      </c>
      <c r="D94" s="42">
        <v>15000</v>
      </c>
      <c r="E94" s="287">
        <v>15000</v>
      </c>
      <c r="F94" s="4"/>
      <c r="G94" s="4"/>
      <c r="H94" s="31"/>
      <c r="I94" s="31"/>
      <c r="J94" s="10"/>
      <c r="K94" s="124" t="s">
        <v>110</v>
      </c>
      <c r="M94" s="16"/>
      <c r="N94" s="29"/>
      <c r="P94" s="29"/>
      <c r="Q94" s="29"/>
      <c r="R94" s="29"/>
      <c r="S94" s="29"/>
      <c r="T94" s="29"/>
    </row>
    <row r="95" spans="1:20" ht="13.5">
      <c r="A95" s="139" t="s">
        <v>86</v>
      </c>
      <c r="B95" s="76">
        <v>80000</v>
      </c>
      <c r="C95" s="125">
        <v>80000</v>
      </c>
      <c r="D95" s="42">
        <v>80000</v>
      </c>
      <c r="E95" s="287">
        <v>80000</v>
      </c>
      <c r="F95" s="4"/>
      <c r="G95" s="4"/>
      <c r="H95" s="31"/>
      <c r="I95" s="31"/>
      <c r="J95" s="10"/>
      <c r="K95" s="124" t="s">
        <v>110</v>
      </c>
      <c r="L95" s="124"/>
      <c r="M95" s="16"/>
      <c r="N95" s="29"/>
      <c r="P95" s="29"/>
      <c r="Q95" s="29"/>
      <c r="R95" s="29"/>
      <c r="S95" s="29"/>
      <c r="T95" s="29"/>
    </row>
    <row r="96" spans="1:20" ht="13.5">
      <c r="A96" s="139" t="s">
        <v>58</v>
      </c>
      <c r="B96" s="279">
        <v>20000</v>
      </c>
      <c r="C96" s="280">
        <v>20000</v>
      </c>
      <c r="D96" s="48">
        <v>20000</v>
      </c>
      <c r="E96" s="237">
        <v>0</v>
      </c>
      <c r="F96" s="4"/>
      <c r="G96" s="4"/>
      <c r="H96" s="31"/>
      <c r="I96" s="31"/>
      <c r="J96" s="10"/>
      <c r="K96" s="124"/>
      <c r="L96" s="124"/>
      <c r="M96" s="16"/>
      <c r="N96" s="29"/>
      <c r="P96" s="29"/>
      <c r="Q96" s="29"/>
      <c r="R96" s="29"/>
      <c r="S96" s="29"/>
      <c r="T96" s="29"/>
    </row>
    <row r="97" spans="1:20" ht="13.5">
      <c r="A97" s="91" t="s">
        <v>102</v>
      </c>
      <c r="B97" s="78"/>
      <c r="C97" s="140"/>
      <c r="D97" s="58">
        <v>30000</v>
      </c>
      <c r="E97" s="256">
        <v>30000</v>
      </c>
      <c r="F97" s="4"/>
      <c r="G97" s="4"/>
      <c r="H97" s="31"/>
      <c r="I97" s="31"/>
      <c r="J97" s="10"/>
      <c r="K97" s="124" t="s">
        <v>110</v>
      </c>
      <c r="L97" s="124"/>
      <c r="M97" s="16"/>
      <c r="N97" s="29"/>
      <c r="P97" s="29"/>
      <c r="Q97" s="29"/>
      <c r="R97" s="29"/>
      <c r="S97" s="29"/>
      <c r="T97" s="29"/>
    </row>
    <row r="98" spans="1:20" ht="14.25" thickBot="1">
      <c r="A98" s="99" t="s">
        <v>10</v>
      </c>
      <c r="B98" s="79">
        <v>680000</v>
      </c>
      <c r="C98" s="43">
        <v>680000</v>
      </c>
      <c r="D98" s="43">
        <v>749250</v>
      </c>
      <c r="E98" s="235">
        <f>D98-C98</f>
        <v>69250</v>
      </c>
      <c r="F98" s="4"/>
      <c r="G98" s="4"/>
      <c r="H98" s="31"/>
      <c r="I98" s="31"/>
      <c r="J98" s="10"/>
      <c r="K98" s="203" t="s">
        <v>117</v>
      </c>
      <c r="L98" s="203"/>
      <c r="M98" s="165"/>
      <c r="N98" s="204"/>
      <c r="P98" s="29"/>
      <c r="Q98" s="29"/>
      <c r="R98" s="29"/>
      <c r="S98" s="29"/>
      <c r="T98" s="29"/>
    </row>
    <row r="99" spans="1:20" s="11" customFormat="1" ht="14.25" thickBot="1">
      <c r="A99" s="71" t="s">
        <v>2</v>
      </c>
      <c r="B99" s="77">
        <f>SUM(B85:B98)</f>
        <v>1276500</v>
      </c>
      <c r="C99" s="59">
        <f>SUM(C85:C98)</f>
        <v>1291500</v>
      </c>
      <c r="D99" s="59">
        <f>SUM(D85:D98)</f>
        <v>1409750</v>
      </c>
      <c r="E99" s="236"/>
      <c r="F99" s="5"/>
      <c r="G99" s="85"/>
      <c r="H99" s="51"/>
      <c r="I99" s="51"/>
      <c r="J99" s="83"/>
      <c r="M99" s="28"/>
      <c r="N99" s="52"/>
      <c r="P99" s="52"/>
      <c r="Q99" s="52"/>
      <c r="R99" s="52"/>
      <c r="S99" s="52"/>
      <c r="T99" s="52"/>
    </row>
    <row r="100" spans="1:20" ht="15.75" thickBot="1">
      <c r="A100" s="21"/>
      <c r="B100" s="23"/>
      <c r="C100" s="22"/>
      <c r="D100" s="22"/>
      <c r="E100" s="7"/>
      <c r="F100" s="31"/>
      <c r="G100" s="31"/>
      <c r="H100" s="31"/>
      <c r="I100" s="31"/>
      <c r="J100" s="10"/>
      <c r="M100" s="29"/>
      <c r="N100" s="29"/>
      <c r="P100" s="29"/>
      <c r="Q100" s="29"/>
      <c r="R100" s="29"/>
      <c r="S100" s="29"/>
      <c r="T100" s="29"/>
    </row>
    <row r="101" spans="1:20" ht="15.75" thickBot="1">
      <c r="A101" s="24" t="s">
        <v>3</v>
      </c>
      <c r="B101" s="23"/>
      <c r="C101" s="22"/>
      <c r="D101" s="22"/>
      <c r="E101" s="7"/>
      <c r="F101" s="31"/>
      <c r="G101" s="31"/>
      <c r="H101" s="31"/>
      <c r="I101" s="31"/>
      <c r="J101" s="10"/>
      <c r="M101" s="135"/>
      <c r="N101" s="29"/>
      <c r="P101" s="29"/>
      <c r="Q101" s="29"/>
      <c r="R101" s="29"/>
      <c r="S101" s="29"/>
      <c r="T101" s="29"/>
    </row>
    <row r="102" spans="1:20" ht="13.5">
      <c r="A102" s="157" t="s">
        <v>11</v>
      </c>
      <c r="B102" s="141">
        <v>250000</v>
      </c>
      <c r="C102" s="47">
        <v>250000</v>
      </c>
      <c r="D102" s="201">
        <v>265000</v>
      </c>
      <c r="E102" s="255">
        <f>D102-C102</f>
        <v>15000</v>
      </c>
      <c r="F102" s="4"/>
      <c r="G102" s="4"/>
      <c r="H102" s="31"/>
      <c r="I102" s="31"/>
      <c r="J102" s="10"/>
      <c r="K102" s="124" t="s">
        <v>118</v>
      </c>
      <c r="L102" s="124"/>
      <c r="M102" s="278"/>
      <c r="N102" s="278"/>
      <c r="O102" s="124"/>
      <c r="P102" s="29"/>
      <c r="Q102" s="29"/>
      <c r="R102" s="29"/>
      <c r="S102" s="29"/>
      <c r="T102" s="29"/>
    </row>
    <row r="103" spans="1:20" ht="14.25" thickBot="1">
      <c r="A103" s="143" t="s">
        <v>4</v>
      </c>
      <c r="B103" s="142">
        <v>899000</v>
      </c>
      <c r="C103" s="48">
        <v>899000</v>
      </c>
      <c r="D103" s="48">
        <f>922000+49250+1000</f>
        <v>972250</v>
      </c>
      <c r="E103" s="240">
        <f>D103-C103</f>
        <v>73250</v>
      </c>
      <c r="F103" s="4"/>
      <c r="G103" s="4"/>
      <c r="H103" s="31"/>
      <c r="I103" s="31"/>
      <c r="J103" s="10"/>
      <c r="K103" s="124"/>
      <c r="L103" s="124"/>
      <c r="M103" s="278"/>
      <c r="N103" s="278"/>
      <c r="O103" s="124"/>
      <c r="P103" s="29"/>
      <c r="Q103" s="29"/>
      <c r="R103" s="29"/>
      <c r="S103" s="29"/>
      <c r="T103" s="29"/>
    </row>
    <row r="104" spans="1:20" ht="13.5">
      <c r="A104" s="147" t="s">
        <v>60</v>
      </c>
      <c r="B104" s="145">
        <v>2500</v>
      </c>
      <c r="C104" s="42">
        <v>2500</v>
      </c>
      <c r="D104" s="42">
        <v>2500</v>
      </c>
      <c r="E104" s="229">
        <v>0</v>
      </c>
      <c r="F104" s="4"/>
      <c r="G104" s="4"/>
      <c r="H104" s="31"/>
      <c r="I104" s="31"/>
      <c r="J104" s="10"/>
      <c r="K104" s="124"/>
      <c r="L104" s="124"/>
      <c r="M104" s="278"/>
      <c r="N104" s="278"/>
      <c r="O104" s="124"/>
      <c r="P104" s="29"/>
      <c r="Q104" s="29"/>
      <c r="R104" s="29"/>
      <c r="S104" s="29"/>
      <c r="T104" s="29"/>
    </row>
    <row r="105" spans="1:20" ht="13.5">
      <c r="A105" s="249" t="s">
        <v>88</v>
      </c>
      <c r="B105" s="250"/>
      <c r="C105" s="42"/>
      <c r="D105" s="42">
        <v>15000</v>
      </c>
      <c r="E105" s="288">
        <v>15000</v>
      </c>
      <c r="F105" s="4"/>
      <c r="G105" s="4"/>
      <c r="H105" s="31"/>
      <c r="I105" s="31"/>
      <c r="J105" s="10"/>
      <c r="K105" s="124" t="s">
        <v>110</v>
      </c>
      <c r="L105" s="124"/>
      <c r="M105" s="278"/>
      <c r="N105" s="278"/>
      <c r="O105" s="124"/>
      <c r="P105" s="29"/>
      <c r="Q105" s="29"/>
      <c r="R105" s="29"/>
      <c r="S105" s="29"/>
      <c r="T105" s="29"/>
    </row>
    <row r="106" spans="1:20" ht="13.5">
      <c r="A106" s="148" t="s">
        <v>51</v>
      </c>
      <c r="B106" s="146">
        <v>20000</v>
      </c>
      <c r="C106" s="42">
        <v>20000</v>
      </c>
      <c r="D106" s="42">
        <v>20000</v>
      </c>
      <c r="E106" s="229">
        <v>0</v>
      </c>
      <c r="F106" s="4"/>
      <c r="G106" s="4"/>
      <c r="H106" s="31"/>
      <c r="I106" s="31"/>
      <c r="J106" s="10"/>
      <c r="K106" s="124"/>
      <c r="L106" s="124"/>
      <c r="M106" s="278"/>
      <c r="N106" s="278"/>
      <c r="O106" s="124"/>
      <c r="P106" s="29"/>
      <c r="Q106" s="29"/>
      <c r="R106" s="29"/>
      <c r="S106" s="29"/>
      <c r="T106" s="29"/>
    </row>
    <row r="107" spans="1:20" ht="13.5">
      <c r="A107" s="148" t="s">
        <v>61</v>
      </c>
      <c r="B107" s="146">
        <v>25000</v>
      </c>
      <c r="C107" s="48">
        <v>25000</v>
      </c>
      <c r="D107" s="48">
        <v>25000</v>
      </c>
      <c r="E107" s="237">
        <v>0</v>
      </c>
      <c r="F107" s="4"/>
      <c r="G107" s="4"/>
      <c r="H107" s="31"/>
      <c r="I107" s="31"/>
      <c r="J107" s="10"/>
      <c r="K107" s="124"/>
      <c r="L107" s="124"/>
      <c r="M107" s="278"/>
      <c r="N107" s="278"/>
      <c r="O107" s="124"/>
      <c r="P107" s="29"/>
      <c r="Q107" s="29"/>
      <c r="R107" s="29"/>
      <c r="S107" s="29"/>
      <c r="T107" s="29"/>
    </row>
    <row r="108" spans="1:20" ht="13.5">
      <c r="A108" s="282" t="s">
        <v>103</v>
      </c>
      <c r="B108" s="281"/>
      <c r="C108" s="48"/>
      <c r="D108" s="48">
        <v>30000</v>
      </c>
      <c r="E108" s="240">
        <v>30000</v>
      </c>
      <c r="F108" s="4"/>
      <c r="G108" s="4"/>
      <c r="H108" s="31"/>
      <c r="I108" s="31"/>
      <c r="J108" s="10"/>
      <c r="K108" s="124" t="s">
        <v>110</v>
      </c>
      <c r="L108" s="124"/>
      <c r="M108" s="278"/>
      <c r="N108" s="278"/>
      <c r="O108" s="124"/>
      <c r="P108" s="29"/>
      <c r="Q108" s="29"/>
      <c r="R108" s="29"/>
      <c r="S108" s="29"/>
      <c r="T108" s="29"/>
    </row>
    <row r="109" spans="1:20" ht="14.25" thickBot="1">
      <c r="A109" s="283" t="s">
        <v>87</v>
      </c>
      <c r="B109" s="172">
        <v>80000</v>
      </c>
      <c r="C109" s="125">
        <v>80000</v>
      </c>
      <c r="D109" s="42">
        <v>80000</v>
      </c>
      <c r="E109" s="288">
        <v>80000</v>
      </c>
      <c r="F109" s="4"/>
      <c r="G109" s="4"/>
      <c r="H109" s="31"/>
      <c r="I109" s="31"/>
      <c r="J109" s="10"/>
      <c r="K109" s="124" t="s">
        <v>110</v>
      </c>
      <c r="L109" s="124"/>
      <c r="M109" s="124"/>
      <c r="N109" s="124"/>
      <c r="O109" s="124"/>
      <c r="P109" s="29"/>
      <c r="Q109" s="29"/>
      <c r="R109" s="29"/>
      <c r="S109" s="29"/>
      <c r="T109" s="29"/>
    </row>
    <row r="110" spans="1:20" s="11" customFormat="1" ht="14.25" thickBot="1">
      <c r="A110" s="174" t="s">
        <v>5</v>
      </c>
      <c r="B110" s="173">
        <f>SUM(B102:B109)</f>
        <v>1276500</v>
      </c>
      <c r="C110" s="44">
        <f>SUM(C102:C109)</f>
        <v>1276500</v>
      </c>
      <c r="D110" s="44">
        <f>SUM(D102:D109)</f>
        <v>1409750</v>
      </c>
      <c r="E110" s="239"/>
      <c r="F110" s="51"/>
      <c r="G110" s="85"/>
      <c r="H110" s="51"/>
      <c r="I110" s="51"/>
      <c r="J110" s="83"/>
      <c r="P110" s="52"/>
      <c r="Q110" s="52"/>
      <c r="R110" s="52"/>
      <c r="S110" s="52"/>
      <c r="T110" s="52"/>
    </row>
    <row r="111" spans="1:20" s="11" customFormat="1" ht="13.5">
      <c r="A111" s="137"/>
      <c r="B111" s="51"/>
      <c r="C111" s="5"/>
      <c r="D111" s="5"/>
      <c r="E111" s="85"/>
      <c r="F111" s="51"/>
      <c r="G111" s="85"/>
      <c r="H111" s="51"/>
      <c r="I111" s="51"/>
      <c r="J111" s="83"/>
      <c r="P111" s="52"/>
      <c r="Q111" s="52"/>
      <c r="R111" s="52"/>
      <c r="S111" s="52"/>
      <c r="T111" s="52"/>
    </row>
    <row r="112" spans="1:20" s="6" customFormat="1" ht="18" thickBot="1">
      <c r="A112" s="875" t="s">
        <v>62</v>
      </c>
      <c r="B112" s="875"/>
      <c r="C112" s="875"/>
      <c r="D112" s="875"/>
      <c r="E112" s="875"/>
      <c r="F112" s="875"/>
      <c r="G112" s="875"/>
      <c r="H112" s="875"/>
      <c r="I112" s="875"/>
      <c r="J112" s="875"/>
      <c r="P112" s="25"/>
      <c r="Q112" s="25"/>
      <c r="R112" s="25"/>
      <c r="S112" s="25"/>
      <c r="T112" s="25"/>
    </row>
    <row r="113" spans="1:10" s="25" customFormat="1" ht="15">
      <c r="A113" s="89" t="s">
        <v>0</v>
      </c>
      <c r="B113" s="152" t="s">
        <v>17</v>
      </c>
      <c r="C113" s="38" t="s">
        <v>23</v>
      </c>
      <c r="D113" s="38" t="s">
        <v>79</v>
      </c>
      <c r="E113" s="73" t="s">
        <v>80</v>
      </c>
      <c r="F113" s="9"/>
      <c r="G113" s="36"/>
      <c r="H113" s="1"/>
      <c r="I113" s="1"/>
      <c r="J113" s="41"/>
    </row>
    <row r="114" spans="1:10" s="25" customFormat="1" ht="15.75" thickBot="1">
      <c r="A114" s="102"/>
      <c r="B114" s="153" t="s">
        <v>22</v>
      </c>
      <c r="C114" s="39" t="s">
        <v>22</v>
      </c>
      <c r="D114" s="39">
        <v>2016</v>
      </c>
      <c r="E114" s="74"/>
      <c r="F114" s="9"/>
      <c r="G114" s="36"/>
      <c r="H114" s="1"/>
      <c r="I114" s="1"/>
      <c r="J114" s="41"/>
    </row>
    <row r="115" spans="1:10" s="25" customFormat="1" ht="13.5">
      <c r="A115" s="104" t="s">
        <v>1</v>
      </c>
      <c r="B115" s="209">
        <v>10000</v>
      </c>
      <c r="C115" s="206">
        <v>10000</v>
      </c>
      <c r="D115" s="49">
        <v>10000</v>
      </c>
      <c r="E115" s="231">
        <v>0</v>
      </c>
      <c r="F115" s="4"/>
      <c r="G115" s="4"/>
      <c r="H115" s="31"/>
      <c r="I115" s="31"/>
      <c r="J115" s="10"/>
    </row>
    <row r="116" spans="1:13" s="25" customFormat="1" ht="13.5">
      <c r="A116" s="104" t="s">
        <v>8</v>
      </c>
      <c r="B116" s="210">
        <v>40000</v>
      </c>
      <c r="C116" s="207">
        <v>40000</v>
      </c>
      <c r="D116" s="42">
        <v>40000</v>
      </c>
      <c r="E116" s="229">
        <v>0</v>
      </c>
      <c r="F116" s="4"/>
      <c r="G116" s="4"/>
      <c r="H116" s="31"/>
      <c r="I116" s="31"/>
      <c r="J116" s="10"/>
      <c r="K116" s="244" t="s">
        <v>82</v>
      </c>
      <c r="L116" s="57"/>
      <c r="M116" s="217"/>
    </row>
    <row r="117" spans="1:11" s="25" customFormat="1" ht="13.5">
      <c r="A117" s="104" t="s">
        <v>16</v>
      </c>
      <c r="B117" s="210">
        <v>95000</v>
      </c>
      <c r="C117" s="207">
        <v>95000</v>
      </c>
      <c r="D117" s="42">
        <v>95000</v>
      </c>
      <c r="E117" s="229">
        <v>0</v>
      </c>
      <c r="F117" s="27"/>
      <c r="G117" s="4"/>
      <c r="H117" s="31"/>
      <c r="I117" s="31"/>
      <c r="J117" s="10"/>
      <c r="K117" s="244" t="s">
        <v>82</v>
      </c>
    </row>
    <row r="118" spans="1:10" s="25" customFormat="1" ht="13.5">
      <c r="A118" s="151" t="s">
        <v>10</v>
      </c>
      <c r="B118" s="211">
        <v>590000</v>
      </c>
      <c r="C118" s="197">
        <v>590000</v>
      </c>
      <c r="D118" s="48">
        <v>612600</v>
      </c>
      <c r="E118" s="240">
        <f>D118-C118</f>
        <v>22600</v>
      </c>
      <c r="F118" s="4"/>
      <c r="G118" s="4"/>
      <c r="H118" s="31"/>
      <c r="I118" s="31"/>
      <c r="J118" s="10"/>
    </row>
    <row r="119" spans="1:11" s="25" customFormat="1" ht="13.5">
      <c r="A119" s="205" t="s">
        <v>76</v>
      </c>
      <c r="B119" s="211"/>
      <c r="C119" s="242">
        <v>20000</v>
      </c>
      <c r="D119" s="48">
        <v>30000</v>
      </c>
      <c r="E119" s="240">
        <f>D119-C119</f>
        <v>10000</v>
      </c>
      <c r="F119" s="4"/>
      <c r="G119" s="4"/>
      <c r="H119" s="31"/>
      <c r="I119" s="31"/>
      <c r="J119" s="10"/>
      <c r="K119" s="25" t="s">
        <v>120</v>
      </c>
    </row>
    <row r="120" spans="1:10" s="25" customFormat="1" ht="13.5">
      <c r="A120" s="150" t="s">
        <v>65</v>
      </c>
      <c r="B120" s="212">
        <v>90000</v>
      </c>
      <c r="C120" s="243">
        <v>90000</v>
      </c>
      <c r="D120" s="42">
        <v>90000</v>
      </c>
      <c r="E120" s="229">
        <v>0</v>
      </c>
      <c r="F120" s="4"/>
      <c r="G120" s="4"/>
      <c r="H120" s="31"/>
      <c r="I120" s="31"/>
      <c r="J120" s="10"/>
    </row>
    <row r="121" spans="1:11" s="25" customFormat="1" ht="13.5">
      <c r="A121" s="151" t="s">
        <v>63</v>
      </c>
      <c r="B121" s="213">
        <v>270000</v>
      </c>
      <c r="C121" s="179">
        <v>250000</v>
      </c>
      <c r="D121" s="58">
        <v>260000</v>
      </c>
      <c r="E121" s="256">
        <f>D121-C121</f>
        <v>10000</v>
      </c>
      <c r="F121" s="4"/>
      <c r="G121" s="4"/>
      <c r="H121" s="31"/>
      <c r="I121" s="31"/>
      <c r="J121" s="10"/>
      <c r="K121" s="25" t="s">
        <v>120</v>
      </c>
    </row>
    <row r="122" spans="1:10" s="25" customFormat="1" ht="13.5">
      <c r="A122" s="176" t="s">
        <v>64</v>
      </c>
      <c r="B122" s="214">
        <v>50000</v>
      </c>
      <c r="C122" s="92">
        <v>0</v>
      </c>
      <c r="D122" s="42">
        <v>0</v>
      </c>
      <c r="E122" s="238">
        <v>0</v>
      </c>
      <c r="F122" s="4"/>
      <c r="G122" s="4"/>
      <c r="H122" s="31"/>
      <c r="I122" s="31"/>
      <c r="J122" s="10"/>
    </row>
    <row r="123" spans="1:11" s="25" customFormat="1" ht="14.25" thickBot="1">
      <c r="A123" s="175" t="s">
        <v>9</v>
      </c>
      <c r="B123" s="215"/>
      <c r="C123" s="208"/>
      <c r="D123" s="58">
        <v>1000</v>
      </c>
      <c r="E123" s="256">
        <v>1000</v>
      </c>
      <c r="F123" s="4"/>
      <c r="G123" s="4"/>
      <c r="H123" s="31"/>
      <c r="I123" s="31"/>
      <c r="J123" s="10"/>
      <c r="K123" s="25" t="s">
        <v>119</v>
      </c>
    </row>
    <row r="124" spans="1:10" s="25" customFormat="1" ht="14.25" thickBot="1">
      <c r="A124" s="174" t="s">
        <v>2</v>
      </c>
      <c r="B124" s="173">
        <f>SUM(B115:B122)</f>
        <v>1145000</v>
      </c>
      <c r="C124" s="44">
        <f>SUM(C115:C123)</f>
        <v>1095000</v>
      </c>
      <c r="D124" s="44">
        <f>SUM(D115:D123)</f>
        <v>1138600</v>
      </c>
      <c r="E124" s="239"/>
      <c r="F124" s="5"/>
      <c r="G124" s="85"/>
      <c r="H124" s="51"/>
      <c r="I124" s="51"/>
      <c r="J124" s="83"/>
    </row>
    <row r="125" spans="1:10" s="29" customFormat="1" ht="15.75" thickBot="1">
      <c r="A125" s="21"/>
      <c r="B125" s="23"/>
      <c r="C125" s="22"/>
      <c r="D125" s="22"/>
      <c r="E125" s="7"/>
      <c r="F125" s="31"/>
      <c r="G125" s="31"/>
      <c r="H125" s="31"/>
      <c r="I125" s="31"/>
      <c r="J125" s="10"/>
    </row>
    <row r="126" spans="1:10" s="29" customFormat="1" ht="15.75" thickBot="1">
      <c r="A126" s="24" t="s">
        <v>3</v>
      </c>
      <c r="B126" s="23"/>
      <c r="C126" s="22"/>
      <c r="D126" s="22"/>
      <c r="E126" s="7"/>
      <c r="F126" s="31"/>
      <c r="G126" s="31"/>
      <c r="H126" s="31"/>
      <c r="I126" s="31"/>
      <c r="J126" s="10"/>
    </row>
    <row r="127" spans="1:10" s="29" customFormat="1" ht="13.5">
      <c r="A127" s="158" t="s">
        <v>66</v>
      </c>
      <c r="B127" s="154">
        <v>50000</v>
      </c>
      <c r="C127" s="47">
        <v>0</v>
      </c>
      <c r="D127" s="47">
        <v>0</v>
      </c>
      <c r="E127" s="248">
        <v>0</v>
      </c>
      <c r="F127" s="4"/>
      <c r="G127" s="4"/>
      <c r="H127" s="31"/>
      <c r="I127" s="31"/>
      <c r="J127" s="10"/>
    </row>
    <row r="128" spans="1:10" s="29" customFormat="1" ht="13.5">
      <c r="A128" s="159" t="s">
        <v>67</v>
      </c>
      <c r="B128" s="155">
        <v>90000</v>
      </c>
      <c r="C128" s="48">
        <v>90000</v>
      </c>
      <c r="D128" s="48">
        <v>90000</v>
      </c>
      <c r="E128" s="233">
        <v>0</v>
      </c>
      <c r="F128" s="4"/>
      <c r="G128" s="4"/>
      <c r="H128" s="31"/>
      <c r="I128" s="31"/>
      <c r="J128" s="10"/>
    </row>
    <row r="129" spans="1:10" s="29" customFormat="1" ht="13.5">
      <c r="A129" s="158" t="s">
        <v>77</v>
      </c>
      <c r="B129" s="216"/>
      <c r="C129" s="48">
        <v>20000</v>
      </c>
      <c r="D129" s="48">
        <v>30000</v>
      </c>
      <c r="E129" s="240">
        <f>D129-C129</f>
        <v>10000</v>
      </c>
      <c r="F129" s="4"/>
      <c r="G129" s="4"/>
      <c r="H129" s="31"/>
      <c r="I129" s="31"/>
      <c r="J129" s="10"/>
    </row>
    <row r="130" spans="1:10" s="29" customFormat="1" ht="13.5">
      <c r="A130" s="158" t="s">
        <v>68</v>
      </c>
      <c r="B130" s="216">
        <v>270000</v>
      </c>
      <c r="C130" s="48">
        <v>250000</v>
      </c>
      <c r="D130" s="48">
        <v>260000</v>
      </c>
      <c r="E130" s="240">
        <f>D130-C130</f>
        <v>10000</v>
      </c>
      <c r="F130" s="4"/>
      <c r="G130" s="4"/>
      <c r="H130" s="31"/>
      <c r="I130" s="31"/>
      <c r="J130" s="10"/>
    </row>
    <row r="131" spans="1:10" s="29" customFormat="1" ht="14.25" thickBot="1">
      <c r="A131" s="143" t="s">
        <v>4</v>
      </c>
      <c r="B131" s="142">
        <v>735000</v>
      </c>
      <c r="C131" s="43">
        <v>735000</v>
      </c>
      <c r="D131" s="43">
        <f>745000+12600+1000</f>
        <v>758600</v>
      </c>
      <c r="E131" s="235">
        <f>D131-C131</f>
        <v>23600</v>
      </c>
      <c r="F131" s="4"/>
      <c r="G131" s="4"/>
      <c r="H131" s="31"/>
      <c r="I131" s="31"/>
      <c r="J131" s="10"/>
    </row>
    <row r="132" spans="1:10" s="29" customFormat="1" ht="14.25" thickBot="1">
      <c r="A132" s="80" t="s">
        <v>5</v>
      </c>
      <c r="B132" s="149">
        <f>SUM(B127:B131)</f>
        <v>1145000</v>
      </c>
      <c r="C132" s="44">
        <f>SUM(C127:C131)</f>
        <v>1095000</v>
      </c>
      <c r="D132" s="44">
        <f>SUM(D127:D131)</f>
        <v>1138600</v>
      </c>
      <c r="E132" s="239"/>
      <c r="F132" s="51"/>
      <c r="G132" s="85"/>
      <c r="H132" s="51"/>
      <c r="I132" s="51"/>
      <c r="J132" s="83"/>
    </row>
    <row r="133" spans="1:4" s="29" customFormat="1" ht="12.75">
      <c r="A133" s="68"/>
      <c r="B133" s="68"/>
      <c r="C133" s="68"/>
      <c r="D133" s="68"/>
    </row>
    <row r="134" spans="1:4" s="29" customFormat="1" ht="12.75">
      <c r="A134" s="68"/>
      <c r="B134" s="68"/>
      <c r="C134" s="68"/>
      <c r="D134" s="68"/>
    </row>
    <row r="135" spans="1:4" s="29" customFormat="1" ht="13.5">
      <c r="A135" s="273" t="s">
        <v>98</v>
      </c>
      <c r="B135" s="68"/>
      <c r="C135" s="68"/>
      <c r="D135" s="68"/>
    </row>
    <row r="136" spans="1:18" s="29" customFormat="1" ht="12.75">
      <c r="A136" s="274" t="s">
        <v>101</v>
      </c>
      <c r="B136" s="274"/>
      <c r="C136" s="274"/>
      <c r="D136" s="274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</row>
    <row r="137" spans="1:18" s="29" customFormat="1" ht="12.75">
      <c r="A137" s="274" t="s">
        <v>99</v>
      </c>
      <c r="B137" s="274"/>
      <c r="C137" s="274"/>
      <c r="D137" s="274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</row>
    <row r="138" spans="1:4" s="29" customFormat="1" ht="12.75">
      <c r="A138" s="274" t="s">
        <v>100</v>
      </c>
      <c r="B138" s="68"/>
      <c r="C138" s="68"/>
      <c r="D138" s="68"/>
    </row>
    <row r="139" spans="1:4" s="29" customFormat="1" ht="12.75">
      <c r="A139" s="274" t="s">
        <v>104</v>
      </c>
      <c r="B139" s="68"/>
      <c r="C139" s="68"/>
      <c r="D139" s="68"/>
    </row>
    <row r="140" spans="1:20" ht="12.75">
      <c r="A140" s="276" t="s">
        <v>105</v>
      </c>
      <c r="B140" s="63"/>
      <c r="C140" s="63"/>
      <c r="D140" s="63"/>
      <c r="P140" s="29"/>
      <c r="Q140" s="29"/>
      <c r="R140" s="29"/>
      <c r="S140" s="29"/>
      <c r="T140" s="29"/>
    </row>
    <row r="141" spans="1:20" ht="12.75">
      <c r="A141" s="276" t="s">
        <v>107</v>
      </c>
      <c r="P141" s="29"/>
      <c r="Q141" s="29"/>
      <c r="R141" s="29"/>
      <c r="S141" s="29"/>
      <c r="T141" s="29"/>
    </row>
    <row r="142" spans="1:20" ht="12.75">
      <c r="A142" s="276" t="s">
        <v>106</v>
      </c>
      <c r="P142" s="29"/>
      <c r="Q142" s="29"/>
      <c r="R142" s="29"/>
      <c r="S142" s="29"/>
      <c r="T142" s="29"/>
    </row>
    <row r="143" ht="13.5">
      <c r="A143" s="289" t="s">
        <v>121</v>
      </c>
    </row>
    <row r="144" ht="12.75">
      <c r="A144" s="276" t="s">
        <v>122</v>
      </c>
    </row>
    <row r="145" ht="12.75">
      <c r="A145" s="276" t="s">
        <v>123</v>
      </c>
    </row>
    <row r="146" ht="12.75">
      <c r="A146" s="276" t="s">
        <v>124</v>
      </c>
    </row>
    <row r="147" ht="12.75">
      <c r="A147" s="276" t="s">
        <v>125</v>
      </c>
    </row>
    <row r="148" ht="12.75">
      <c r="A148" s="276" t="s">
        <v>126</v>
      </c>
    </row>
    <row r="149" ht="12.75">
      <c r="A149" s="276" t="s">
        <v>127</v>
      </c>
    </row>
    <row r="150" ht="12.75">
      <c r="A150" s="276" t="s">
        <v>128</v>
      </c>
    </row>
    <row r="151" ht="12.75">
      <c r="A151" s="276" t="s">
        <v>129</v>
      </c>
    </row>
    <row r="152" ht="12.75">
      <c r="A152" s="276" t="s">
        <v>130</v>
      </c>
    </row>
    <row r="153" ht="13.5">
      <c r="A153" s="289" t="s">
        <v>131</v>
      </c>
    </row>
    <row r="154" ht="12.75">
      <c r="A154" s="276" t="s">
        <v>132</v>
      </c>
    </row>
    <row r="155" ht="12.75">
      <c r="A155" s="276" t="s">
        <v>133</v>
      </c>
    </row>
  </sheetData>
  <sheetProtection/>
  <mergeCells count="5">
    <mergeCell ref="A1:J1"/>
    <mergeCell ref="A2:J2"/>
    <mergeCell ref="A65:G65"/>
    <mergeCell ref="A82:J82"/>
    <mergeCell ref="A112:J112"/>
  </mergeCells>
  <printOptions/>
  <pageMargins left="0.9055118110236221" right="0.2755905511811024" top="0.5905511811023623" bottom="0.2755905511811024" header="0.5118110236220472" footer="0.2755905511811024"/>
  <pageSetup horizontalDpi="600" verticalDpi="600" orientation="portrait" paperSize="9" scale="65" r:id="rId1"/>
  <headerFooter alignWithMargins="0">
    <oddFooter>&amp;C&amp;P</oddFooter>
  </headerFooter>
  <rowBreaks count="1" manualBreakCount="1">
    <brk id="6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1"/>
  <sheetViews>
    <sheetView zoomScalePageLayoutView="0" workbookViewId="0" topLeftCell="A1">
      <selection activeCell="A2" sqref="A2:C2"/>
    </sheetView>
  </sheetViews>
  <sheetFormatPr defaultColWidth="9.125" defaultRowHeight="12.75"/>
  <cols>
    <col min="1" max="1" width="35.50390625" style="702" customWidth="1"/>
    <col min="2" max="2" width="12.50390625" style="702" customWidth="1"/>
    <col min="3" max="3" width="15.375" style="702" customWidth="1"/>
    <col min="4" max="5" width="13.125" style="703" customWidth="1"/>
    <col min="6" max="6" width="14.375" style="702" bestFit="1" customWidth="1"/>
    <col min="7" max="16384" width="9.125" style="702" customWidth="1"/>
  </cols>
  <sheetData>
    <row r="1" spans="1:5" ht="19.5" customHeight="1">
      <c r="A1" s="879" t="s">
        <v>369</v>
      </c>
      <c r="B1" s="879"/>
      <c r="C1" s="879"/>
      <c r="D1" s="879"/>
      <c r="E1" s="702"/>
    </row>
    <row r="2" spans="1:3" ht="19.5" customHeight="1">
      <c r="A2" s="880"/>
      <c r="B2" s="880"/>
      <c r="C2" s="880"/>
    </row>
    <row r="3" spans="1:4" s="52" customFormat="1" ht="19.5" customHeight="1">
      <c r="A3" s="881" t="s">
        <v>370</v>
      </c>
      <c r="B3" s="881"/>
      <c r="C3" s="881"/>
      <c r="D3" s="881"/>
    </row>
    <row r="4" spans="1:5" ht="19.5" customHeight="1">
      <c r="A4" s="882" t="s">
        <v>7</v>
      </c>
      <c r="B4" s="883" t="s">
        <v>409</v>
      </c>
      <c r="C4" s="883" t="s">
        <v>412</v>
      </c>
      <c r="D4" s="876" t="s">
        <v>338</v>
      </c>
      <c r="E4" s="876" t="s">
        <v>415</v>
      </c>
    </row>
    <row r="5" spans="1:5" ht="19.5" customHeight="1">
      <c r="A5" s="882"/>
      <c r="B5" s="883"/>
      <c r="C5" s="883"/>
      <c r="D5" s="877"/>
      <c r="E5" s="877"/>
    </row>
    <row r="6" spans="1:5" ht="19.5" customHeight="1">
      <c r="A6" s="882"/>
      <c r="B6" s="883"/>
      <c r="C6" s="883"/>
      <c r="D6" s="878"/>
      <c r="E6" s="878"/>
    </row>
    <row r="7" spans="1:5" ht="19.5" customHeight="1">
      <c r="A7" s="704" t="s">
        <v>371</v>
      </c>
      <c r="B7" s="826">
        <v>1315800</v>
      </c>
      <c r="C7" s="705"/>
      <c r="D7" s="706"/>
      <c r="E7" s="706"/>
    </row>
    <row r="8" spans="1:5" ht="19.5" customHeight="1">
      <c r="A8" s="707" t="s">
        <v>372</v>
      </c>
      <c r="B8" s="708">
        <v>0</v>
      </c>
      <c r="C8" s="709"/>
      <c r="D8" s="710"/>
      <c r="E8" s="710"/>
    </row>
    <row r="9" spans="1:5" ht="19.5" customHeight="1">
      <c r="A9" s="707" t="s">
        <v>373</v>
      </c>
      <c r="B9" s="708">
        <v>0</v>
      </c>
      <c r="C9" s="709"/>
      <c r="D9" s="710"/>
      <c r="E9" s="710"/>
    </row>
    <row r="10" spans="1:5" ht="19.5" customHeight="1">
      <c r="A10" s="707" t="s">
        <v>374</v>
      </c>
      <c r="B10" s="708">
        <v>0</v>
      </c>
      <c r="C10" s="709"/>
      <c r="D10" s="710"/>
      <c r="E10" s="710"/>
    </row>
    <row r="11" spans="1:5" ht="19.5" customHeight="1">
      <c r="A11" s="711" t="s">
        <v>1</v>
      </c>
      <c r="B11" s="708">
        <v>50000</v>
      </c>
      <c r="C11" s="709"/>
      <c r="D11" s="706"/>
      <c r="E11" s="706"/>
    </row>
    <row r="12" spans="1:5" ht="19.5" customHeight="1">
      <c r="A12" s="711" t="s">
        <v>8</v>
      </c>
      <c r="B12" s="708">
        <v>410000</v>
      </c>
      <c r="C12" s="709"/>
      <c r="D12" s="706"/>
      <c r="E12" s="706"/>
    </row>
    <row r="13" spans="1:5" ht="19.5" customHeight="1">
      <c r="A13" s="711" t="s">
        <v>18</v>
      </c>
      <c r="B13" s="708">
        <v>1907000</v>
      </c>
      <c r="C13" s="709"/>
      <c r="D13" s="706"/>
      <c r="E13" s="706"/>
    </row>
    <row r="14" spans="1:5" ht="19.5" customHeight="1">
      <c r="A14" s="711" t="s">
        <v>9</v>
      </c>
      <c r="B14" s="708">
        <v>1190000</v>
      </c>
      <c r="C14" s="709"/>
      <c r="D14" s="706"/>
      <c r="E14" s="706"/>
    </row>
    <row r="15" spans="1:5" ht="19.5" customHeight="1">
      <c r="A15" s="711" t="s">
        <v>10</v>
      </c>
      <c r="B15" s="708">
        <v>5470439</v>
      </c>
      <c r="C15" s="709"/>
      <c r="D15" s="706"/>
      <c r="E15" s="706"/>
    </row>
    <row r="16" spans="1:5" ht="19.5" customHeight="1">
      <c r="A16" s="711" t="s">
        <v>139</v>
      </c>
      <c r="B16" s="708">
        <v>50000</v>
      </c>
      <c r="C16" s="708"/>
      <c r="D16" s="706"/>
      <c r="E16" s="706"/>
    </row>
    <row r="17" spans="1:5" ht="19.5" customHeight="1">
      <c r="A17" s="711" t="s">
        <v>157</v>
      </c>
      <c r="B17" s="712">
        <v>759885</v>
      </c>
      <c r="C17" s="708"/>
      <c r="D17" s="706"/>
      <c r="E17" s="706"/>
    </row>
    <row r="18" spans="1:5" ht="19.5" customHeight="1">
      <c r="A18" s="713" t="s">
        <v>375</v>
      </c>
      <c r="B18" s="712">
        <v>10000</v>
      </c>
      <c r="C18" s="708"/>
      <c r="D18" s="706"/>
      <c r="E18" s="706"/>
    </row>
    <row r="19" spans="1:5" ht="19.5" customHeight="1">
      <c r="A19" s="714" t="s">
        <v>39</v>
      </c>
      <c r="B19" s="709">
        <v>1304500</v>
      </c>
      <c r="C19" s="709"/>
      <c r="D19" s="706"/>
      <c r="E19" s="706"/>
    </row>
    <row r="20" spans="1:5" ht="19.5" customHeight="1">
      <c r="A20" s="711" t="s">
        <v>376</v>
      </c>
      <c r="B20" s="709">
        <v>853000</v>
      </c>
      <c r="C20" s="709"/>
      <c r="D20" s="706"/>
      <c r="E20" s="706"/>
    </row>
    <row r="21" spans="1:5" ht="19.5" customHeight="1">
      <c r="A21" s="715" t="s">
        <v>377</v>
      </c>
      <c r="B21" s="709">
        <v>761000</v>
      </c>
      <c r="C21" s="709"/>
      <c r="D21" s="706"/>
      <c r="E21" s="706"/>
    </row>
    <row r="22" spans="1:5" ht="19.5" customHeight="1">
      <c r="A22" s="827" t="s">
        <v>378</v>
      </c>
      <c r="B22" s="828">
        <f>SUM(B7:B21)</f>
        <v>14081624</v>
      </c>
      <c r="C22" s="709"/>
      <c r="D22" s="706"/>
      <c r="E22" s="706"/>
    </row>
    <row r="23" spans="1:3" ht="19.5" customHeight="1">
      <c r="A23" s="717"/>
      <c r="B23" s="718"/>
      <c r="C23" s="719"/>
    </row>
    <row r="24" spans="1:3" ht="19.5" customHeight="1">
      <c r="A24" s="717"/>
      <c r="B24" s="718"/>
      <c r="C24" s="719"/>
    </row>
    <row r="25" spans="1:3" ht="19.5" customHeight="1" hidden="1">
      <c r="A25" s="717"/>
      <c r="B25" s="718"/>
      <c r="C25" s="719"/>
    </row>
    <row r="26" spans="1:3" ht="19.5" customHeight="1" hidden="1">
      <c r="A26" s="717"/>
      <c r="B26" s="718"/>
      <c r="C26" s="719"/>
    </row>
    <row r="27" spans="1:3" ht="19.5" customHeight="1" hidden="1">
      <c r="A27" s="717"/>
      <c r="B27" s="718"/>
      <c r="C27" s="719"/>
    </row>
    <row r="28" spans="1:3" ht="19.5" customHeight="1" hidden="1">
      <c r="A28" s="717"/>
      <c r="B28" s="718"/>
      <c r="C28" s="719"/>
    </row>
    <row r="29" spans="1:3" ht="19.5" customHeight="1" hidden="1">
      <c r="A29" s="717"/>
      <c r="B29" s="718"/>
      <c r="C29" s="719"/>
    </row>
    <row r="30" spans="1:3" ht="19.5" customHeight="1" hidden="1">
      <c r="A30" s="717"/>
      <c r="B30" s="718"/>
      <c r="C30" s="719"/>
    </row>
    <row r="31" spans="1:3" ht="19.5" customHeight="1" hidden="1">
      <c r="A31" s="717"/>
      <c r="B31" s="718"/>
      <c r="C31" s="719"/>
    </row>
    <row r="32" spans="1:3" ht="19.5" customHeight="1" hidden="1">
      <c r="A32" s="717"/>
      <c r="B32" s="718"/>
      <c r="C32" s="719"/>
    </row>
    <row r="33" spans="1:3" ht="19.5" customHeight="1" hidden="1">
      <c r="A33" s="717"/>
      <c r="B33" s="718"/>
      <c r="C33" s="719"/>
    </row>
    <row r="34" spans="1:5" ht="19.5" customHeight="1" hidden="1">
      <c r="A34" s="720"/>
      <c r="B34" s="514"/>
      <c r="C34" s="721"/>
      <c r="D34" s="25"/>
      <c r="E34" s="25"/>
    </row>
    <row r="35" spans="1:5" ht="19.5" customHeight="1">
      <c r="A35" s="882" t="s">
        <v>379</v>
      </c>
      <c r="B35" s="883" t="s">
        <v>409</v>
      </c>
      <c r="C35" s="883" t="s">
        <v>412</v>
      </c>
      <c r="D35" s="876" t="s">
        <v>338</v>
      </c>
      <c r="E35" s="876" t="s">
        <v>415</v>
      </c>
    </row>
    <row r="36" spans="1:5" ht="19.5" customHeight="1">
      <c r="A36" s="882"/>
      <c r="B36" s="883"/>
      <c r="C36" s="883"/>
      <c r="D36" s="877"/>
      <c r="E36" s="877"/>
    </row>
    <row r="37" spans="1:5" ht="19.5" customHeight="1">
      <c r="A37" s="882"/>
      <c r="B37" s="883"/>
      <c r="C37" s="883"/>
      <c r="D37" s="878"/>
      <c r="E37" s="878"/>
    </row>
    <row r="38" spans="1:5" ht="19.5" customHeight="1">
      <c r="A38" s="711" t="s">
        <v>4</v>
      </c>
      <c r="B38" s="716">
        <v>10350639</v>
      </c>
      <c r="C38" s="716"/>
      <c r="D38" s="722"/>
      <c r="E38" s="722"/>
    </row>
    <row r="39" spans="1:5" ht="19.5" customHeight="1">
      <c r="A39" s="711" t="s">
        <v>157</v>
      </c>
      <c r="B39" s="716">
        <v>759885</v>
      </c>
      <c r="C39" s="716"/>
      <c r="D39" s="722"/>
      <c r="E39" s="722"/>
    </row>
    <row r="40" spans="1:5" ht="19.5" customHeight="1">
      <c r="A40" s="711" t="s">
        <v>11</v>
      </c>
      <c r="B40" s="716">
        <v>2948000</v>
      </c>
      <c r="C40" s="716"/>
      <c r="D40" s="722"/>
      <c r="E40" s="722"/>
    </row>
    <row r="41" spans="1:5" ht="19.5" customHeight="1">
      <c r="A41" s="711" t="s">
        <v>12</v>
      </c>
      <c r="B41" s="716">
        <v>23100</v>
      </c>
      <c r="C41" s="716"/>
      <c r="D41" s="722"/>
      <c r="E41" s="722"/>
    </row>
    <row r="42" spans="1:5" ht="19.5" customHeight="1" hidden="1">
      <c r="A42" s="723" t="s">
        <v>380</v>
      </c>
      <c r="B42" s="716"/>
      <c r="C42" s="716"/>
      <c r="D42" s="710"/>
      <c r="E42" s="710"/>
    </row>
    <row r="43" spans="1:5" ht="19.5" customHeight="1" hidden="1">
      <c r="A43" s="724" t="s">
        <v>381</v>
      </c>
      <c r="B43" s="716"/>
      <c r="C43" s="725"/>
      <c r="D43" s="726"/>
      <c r="E43" s="726"/>
    </row>
    <row r="44" spans="1:5" ht="19.5" customHeight="1" hidden="1">
      <c r="A44" s="723" t="s">
        <v>382</v>
      </c>
      <c r="B44" s="716"/>
      <c r="C44" s="725"/>
      <c r="D44" s="707"/>
      <c r="E44" s="707"/>
    </row>
    <row r="45" spans="1:5" ht="19.5" customHeight="1" hidden="1">
      <c r="A45" s="727" t="s">
        <v>383</v>
      </c>
      <c r="B45" s="716"/>
      <c r="C45" s="725"/>
      <c r="D45" s="707"/>
      <c r="E45" s="707"/>
    </row>
    <row r="46" spans="1:6" ht="19.5" customHeight="1" hidden="1">
      <c r="A46" s="723" t="s">
        <v>384</v>
      </c>
      <c r="B46" s="716"/>
      <c r="C46" s="716"/>
      <c r="D46" s="707"/>
      <c r="E46" s="884"/>
      <c r="F46" s="884"/>
    </row>
    <row r="47" spans="1:5" ht="19.5" customHeight="1" hidden="1">
      <c r="A47" s="723" t="s">
        <v>385</v>
      </c>
      <c r="B47" s="716"/>
      <c r="C47" s="716"/>
      <c r="D47" s="707"/>
      <c r="E47" s="707"/>
    </row>
    <row r="48" spans="1:5" ht="19.5" customHeight="1" hidden="1">
      <c r="A48" s="707" t="s">
        <v>139</v>
      </c>
      <c r="B48" s="716"/>
      <c r="C48" s="725"/>
      <c r="D48" s="707"/>
      <c r="E48" s="707"/>
    </row>
    <row r="49" spans="1:5" ht="19.5" customHeight="1" hidden="1">
      <c r="A49" s="707" t="s">
        <v>19</v>
      </c>
      <c r="B49" s="716"/>
      <c r="C49" s="725"/>
      <c r="D49" s="707"/>
      <c r="E49" s="707"/>
    </row>
    <row r="50" spans="1:5" ht="19.5" customHeight="1" hidden="1">
      <c r="A50" s="723" t="s">
        <v>386</v>
      </c>
      <c r="B50" s="716"/>
      <c r="C50" s="725"/>
      <c r="D50" s="707"/>
      <c r="E50" s="707"/>
    </row>
    <row r="51" spans="1:5" ht="19.5" customHeight="1" hidden="1">
      <c r="A51" s="723" t="s">
        <v>387</v>
      </c>
      <c r="B51" s="716"/>
      <c r="C51" s="725"/>
      <c r="D51" s="707"/>
      <c r="E51" s="707"/>
    </row>
    <row r="52" spans="1:5" ht="19.5" customHeight="1" hidden="1">
      <c r="A52" s="723" t="s">
        <v>30</v>
      </c>
      <c r="B52" s="716"/>
      <c r="C52" s="725"/>
      <c r="D52" s="707"/>
      <c r="E52" s="707"/>
    </row>
    <row r="53" spans="1:5" ht="19.5" customHeight="1" hidden="1">
      <c r="A53" s="723" t="s">
        <v>31</v>
      </c>
      <c r="B53" s="716"/>
      <c r="C53" s="725"/>
      <c r="D53" s="707"/>
      <c r="E53" s="707"/>
    </row>
    <row r="54" spans="1:5" ht="19.5" customHeight="1" hidden="1">
      <c r="A54" s="723" t="s">
        <v>388</v>
      </c>
      <c r="B54" s="716"/>
      <c r="C54" s="725"/>
      <c r="D54" s="707"/>
      <c r="E54" s="707"/>
    </row>
    <row r="55" spans="1:5" ht="19.5" customHeight="1" hidden="1">
      <c r="A55" s="723" t="s">
        <v>389</v>
      </c>
      <c r="B55" s="716"/>
      <c r="C55" s="725"/>
      <c r="D55" s="726"/>
      <c r="E55" s="726"/>
    </row>
    <row r="56" spans="1:5" ht="19.5" customHeight="1" hidden="1">
      <c r="A56" s="723" t="s">
        <v>47</v>
      </c>
      <c r="B56" s="716"/>
      <c r="C56" s="725"/>
      <c r="D56" s="716"/>
      <c r="E56" s="716"/>
    </row>
    <row r="57" spans="1:5" ht="19.5" customHeight="1" hidden="1">
      <c r="A57" s="723" t="s">
        <v>48</v>
      </c>
      <c r="B57" s="716"/>
      <c r="C57" s="725"/>
      <c r="D57" s="716"/>
      <c r="E57" s="716"/>
    </row>
    <row r="58" spans="1:5" ht="19.5" customHeight="1" hidden="1">
      <c r="A58" s="723" t="s">
        <v>93</v>
      </c>
      <c r="B58" s="716"/>
      <c r="C58" s="725"/>
      <c r="D58" s="726"/>
      <c r="E58" s="726"/>
    </row>
    <row r="59" spans="1:5" ht="19.5" customHeight="1" hidden="1">
      <c r="A59" s="723" t="s">
        <v>180</v>
      </c>
      <c r="B59" s="716"/>
      <c r="C59" s="725"/>
      <c r="D59" s="707"/>
      <c r="E59" s="707"/>
    </row>
    <row r="60" spans="1:5" ht="19.5" customHeight="1" hidden="1">
      <c r="A60" s="723" t="s">
        <v>390</v>
      </c>
      <c r="B60" s="716"/>
      <c r="C60" s="725"/>
      <c r="D60" s="707"/>
      <c r="E60" s="707"/>
    </row>
    <row r="61" spans="1:5" ht="19.5" customHeight="1" hidden="1">
      <c r="A61" s="723" t="s">
        <v>391</v>
      </c>
      <c r="B61" s="716"/>
      <c r="C61" s="725"/>
      <c r="D61" s="707"/>
      <c r="E61" s="707"/>
    </row>
    <row r="62" spans="1:5" ht="19.5" customHeight="1" hidden="1">
      <c r="A62" s="723" t="s">
        <v>392</v>
      </c>
      <c r="B62" s="716"/>
      <c r="C62" s="725"/>
      <c r="D62" s="707"/>
      <c r="E62" s="707"/>
    </row>
    <row r="63" spans="1:5" ht="19.5" customHeight="1" hidden="1">
      <c r="A63" s="723" t="s">
        <v>393</v>
      </c>
      <c r="B63" s="716"/>
      <c r="C63" s="725"/>
      <c r="D63" s="707"/>
      <c r="E63" s="707"/>
    </row>
    <row r="64" spans="1:5" ht="19.5" customHeight="1" hidden="1">
      <c r="A64" s="723" t="s">
        <v>394</v>
      </c>
      <c r="B64" s="716"/>
      <c r="C64" s="725"/>
      <c r="D64" s="707"/>
      <c r="E64" s="707"/>
    </row>
    <row r="65" spans="1:5" ht="19.5" customHeight="1" hidden="1">
      <c r="A65" s="723" t="s">
        <v>395</v>
      </c>
      <c r="B65" s="716"/>
      <c r="C65" s="725"/>
      <c r="D65" s="707"/>
      <c r="E65" s="707"/>
    </row>
    <row r="66" spans="1:5" s="52" customFormat="1" ht="19.5" customHeight="1">
      <c r="A66" s="827" t="s">
        <v>13</v>
      </c>
      <c r="B66" s="829">
        <f>SUM(B38:B65)</f>
        <v>14081624</v>
      </c>
      <c r="C66" s="725">
        <f>SUM(C38:C41)</f>
        <v>0</v>
      </c>
      <c r="D66" s="706">
        <f>SUM(D38:D41)</f>
        <v>0</v>
      </c>
      <c r="E66" s="706">
        <f>SUM(E38:E41)</f>
        <v>0</v>
      </c>
    </row>
    <row r="67" spans="1:5" s="52" customFormat="1" ht="19.5" customHeight="1" hidden="1">
      <c r="A67" s="717"/>
      <c r="B67" s="718"/>
      <c r="C67" s="718"/>
      <c r="D67" s="25"/>
      <c r="E67" s="25"/>
    </row>
    <row r="68" spans="1:5" s="52" customFormat="1" ht="19.5" customHeight="1" hidden="1">
      <c r="A68" s="717"/>
      <c r="B68" s="718"/>
      <c r="C68" s="718"/>
      <c r="D68" s="25"/>
      <c r="E68" s="25"/>
    </row>
    <row r="69" spans="1:5" s="52" customFormat="1" ht="19.5" customHeight="1" hidden="1">
      <c r="A69" s="717"/>
      <c r="B69" s="718"/>
      <c r="C69" s="718"/>
      <c r="D69" s="25"/>
      <c r="E69" s="25"/>
    </row>
    <row r="70" spans="1:5" s="52" customFormat="1" ht="19.5" customHeight="1" hidden="1">
      <c r="A70" s="717"/>
      <c r="B70" s="718"/>
      <c r="C70" s="718"/>
      <c r="D70" s="25"/>
      <c r="E70" s="25"/>
    </row>
    <row r="71" spans="1:5" s="52" customFormat="1" ht="19.5" customHeight="1" hidden="1">
      <c r="A71" s="717"/>
      <c r="B71" s="718"/>
      <c r="C71" s="718"/>
      <c r="D71" s="25"/>
      <c r="E71" s="25"/>
    </row>
    <row r="72" spans="1:5" s="52" customFormat="1" ht="19.5" customHeight="1" hidden="1">
      <c r="A72" s="717"/>
      <c r="B72" s="718"/>
      <c r="C72" s="718"/>
      <c r="D72" s="25"/>
      <c r="E72" s="25"/>
    </row>
    <row r="73" spans="3:5" s="52" customFormat="1" ht="19.5" customHeight="1" hidden="1">
      <c r="C73" s="718"/>
      <c r="D73" s="25"/>
      <c r="E73" s="25"/>
    </row>
    <row r="74" spans="3:5" s="52" customFormat="1" ht="19.5" customHeight="1" hidden="1">
      <c r="C74" s="718"/>
      <c r="D74" s="25"/>
      <c r="E74" s="25"/>
    </row>
    <row r="75" spans="1:5" s="52" customFormat="1" ht="19.5" customHeight="1" hidden="1">
      <c r="A75" s="717"/>
      <c r="B75" s="718"/>
      <c r="C75" s="718"/>
      <c r="D75" s="25"/>
      <c r="E75" s="25"/>
    </row>
    <row r="76" spans="1:5" s="52" customFormat="1" ht="19.5" customHeight="1">
      <c r="A76" s="717"/>
      <c r="B76" s="718"/>
      <c r="C76" s="718"/>
      <c r="D76" s="25"/>
      <c r="E76" s="25"/>
    </row>
    <row r="77" spans="1:5" s="52" customFormat="1" ht="19.5" customHeight="1">
      <c r="A77" s="717"/>
      <c r="B77" s="718"/>
      <c r="C77" s="718"/>
      <c r="D77" s="25"/>
      <c r="E77" s="25"/>
    </row>
    <row r="78" spans="1:5" s="52" customFormat="1" ht="19.5" customHeight="1" hidden="1">
      <c r="A78" s="717"/>
      <c r="B78" s="514"/>
      <c r="C78" s="514"/>
      <c r="D78" s="502"/>
      <c r="E78" s="502"/>
    </row>
    <row r="79" spans="1:5" s="52" customFormat="1" ht="19.5" customHeight="1" hidden="1">
      <c r="A79" s="717"/>
      <c r="B79" s="514"/>
      <c r="C79" s="514"/>
      <c r="D79" s="502"/>
      <c r="E79" s="502"/>
    </row>
    <row r="80" spans="1:5" s="52" customFormat="1" ht="19.5" customHeight="1" hidden="1">
      <c r="A80" s="717"/>
      <c r="B80" s="514"/>
      <c r="C80" s="514"/>
      <c r="D80" s="502"/>
      <c r="E80" s="502"/>
    </row>
    <row r="81" spans="1:5" s="52" customFormat="1" ht="19.5" customHeight="1" hidden="1">
      <c r="A81" s="717"/>
      <c r="B81" s="514"/>
      <c r="C81" s="514"/>
      <c r="D81" s="502"/>
      <c r="E81" s="502"/>
    </row>
    <row r="82" spans="1:5" s="52" customFormat="1" ht="19.5" customHeight="1">
      <c r="A82" s="717"/>
      <c r="B82" s="718"/>
      <c r="C82" s="718"/>
      <c r="D82" s="25"/>
      <c r="E82" s="25"/>
    </row>
    <row r="83" spans="1:5" ht="19.5" customHeight="1">
      <c r="A83" s="885" t="s">
        <v>14</v>
      </c>
      <c r="B83" s="885"/>
      <c r="C83" s="885"/>
      <c r="D83" s="885"/>
      <c r="E83" s="702"/>
    </row>
    <row r="84" spans="1:5" ht="19.5" customHeight="1">
      <c r="A84" s="886" t="s">
        <v>0</v>
      </c>
      <c r="B84" s="883" t="s">
        <v>409</v>
      </c>
      <c r="C84" s="883" t="s">
        <v>412</v>
      </c>
      <c r="D84" s="876" t="s">
        <v>338</v>
      </c>
      <c r="E84" s="876" t="s">
        <v>415</v>
      </c>
    </row>
    <row r="85" spans="1:5" ht="19.5" customHeight="1">
      <c r="A85" s="886"/>
      <c r="B85" s="883"/>
      <c r="C85" s="883"/>
      <c r="D85" s="877"/>
      <c r="E85" s="877"/>
    </row>
    <row r="86" spans="1:5" ht="19.5" customHeight="1">
      <c r="A86" s="886"/>
      <c r="B86" s="883"/>
      <c r="C86" s="883"/>
      <c r="D86" s="878"/>
      <c r="E86" s="878"/>
    </row>
    <row r="87" spans="1:5" ht="19.5" customHeight="1">
      <c r="A87" s="715" t="s">
        <v>371</v>
      </c>
      <c r="B87" s="728">
        <v>178000</v>
      </c>
      <c r="C87" s="728"/>
      <c r="D87" s="706"/>
      <c r="E87" s="706"/>
    </row>
    <row r="88" spans="1:5" ht="19.5" customHeight="1">
      <c r="A88" s="707" t="s">
        <v>372</v>
      </c>
      <c r="B88" s="716"/>
      <c r="C88" s="716"/>
      <c r="D88" s="710"/>
      <c r="E88" s="710"/>
    </row>
    <row r="89" spans="1:5" ht="19.5" customHeight="1">
      <c r="A89" s="707" t="s">
        <v>396</v>
      </c>
      <c r="B89" s="716"/>
      <c r="C89" s="716"/>
      <c r="D89" s="710"/>
      <c r="E89" s="710"/>
    </row>
    <row r="90" spans="1:5" ht="19.5" customHeight="1">
      <c r="A90" s="707" t="s">
        <v>397</v>
      </c>
      <c r="B90" s="716"/>
      <c r="C90" s="716"/>
      <c r="D90" s="710"/>
      <c r="E90" s="710"/>
    </row>
    <row r="91" spans="1:5" ht="19.5" customHeight="1">
      <c r="A91" s="711" t="s">
        <v>1</v>
      </c>
      <c r="B91" s="716">
        <v>15000</v>
      </c>
      <c r="C91" s="716"/>
      <c r="D91" s="706"/>
      <c r="E91" s="706"/>
    </row>
    <row r="92" spans="1:5" ht="19.5" customHeight="1">
      <c r="A92" s="711" t="s">
        <v>8</v>
      </c>
      <c r="B92" s="716">
        <v>7000</v>
      </c>
      <c r="C92" s="716"/>
      <c r="D92" s="706"/>
      <c r="E92" s="706"/>
    </row>
    <row r="93" spans="1:5" ht="19.5" customHeight="1">
      <c r="A93" s="711" t="s">
        <v>398</v>
      </c>
      <c r="B93" s="716">
        <v>100000</v>
      </c>
      <c r="C93" s="716"/>
      <c r="D93" s="706"/>
      <c r="E93" s="706"/>
    </row>
    <row r="94" spans="1:5" ht="19.5" customHeight="1">
      <c r="A94" s="711" t="s">
        <v>10</v>
      </c>
      <c r="B94" s="716">
        <v>590481</v>
      </c>
      <c r="C94" s="716"/>
      <c r="D94" s="706"/>
      <c r="E94" s="706"/>
    </row>
    <row r="95" spans="1:5" ht="19.5" customHeight="1">
      <c r="A95" s="729" t="s">
        <v>399</v>
      </c>
      <c r="B95" s="716">
        <v>24766</v>
      </c>
      <c r="C95" s="716"/>
      <c r="D95" s="706"/>
      <c r="E95" s="706"/>
    </row>
    <row r="96" spans="1:5" ht="19.5" customHeight="1" hidden="1">
      <c r="A96" s="729" t="s">
        <v>197</v>
      </c>
      <c r="B96" s="716"/>
      <c r="C96" s="716"/>
      <c r="D96" s="710"/>
      <c r="E96" s="710"/>
    </row>
    <row r="97" spans="1:5" ht="19.5" customHeight="1" hidden="1">
      <c r="A97" s="707" t="s">
        <v>9</v>
      </c>
      <c r="B97" s="716"/>
      <c r="C97" s="716"/>
      <c r="D97" s="710"/>
      <c r="E97" s="710"/>
    </row>
    <row r="98" spans="1:5" ht="19.5" customHeight="1">
      <c r="A98" s="827" t="s">
        <v>2</v>
      </c>
      <c r="B98" s="828">
        <f>SUM(B87:B97)</f>
        <v>915247</v>
      </c>
      <c r="C98" s="716">
        <f>SUM(C87:C95)</f>
        <v>0</v>
      </c>
      <c r="D98" s="706">
        <f>SUM(D88:D97)</f>
        <v>0</v>
      </c>
      <c r="E98" s="706">
        <f>SUM(E88:E97)</f>
        <v>0</v>
      </c>
    </row>
    <row r="99" spans="1:3" ht="19.5" customHeight="1">
      <c r="A99" s="717"/>
      <c r="B99" s="718"/>
      <c r="C99" s="718"/>
    </row>
    <row r="100" spans="1:3" ht="19.5" customHeight="1">
      <c r="A100" s="717"/>
      <c r="B100" s="718"/>
      <c r="C100" s="718"/>
    </row>
    <row r="101" spans="1:5" ht="19.5" customHeight="1">
      <c r="A101" s="882" t="s">
        <v>379</v>
      </c>
      <c r="B101" s="883" t="s">
        <v>409</v>
      </c>
      <c r="C101" s="883" t="s">
        <v>412</v>
      </c>
      <c r="D101" s="876" t="s">
        <v>338</v>
      </c>
      <c r="E101" s="876" t="s">
        <v>415</v>
      </c>
    </row>
    <row r="102" spans="1:5" ht="19.5" customHeight="1">
      <c r="A102" s="882"/>
      <c r="B102" s="883"/>
      <c r="C102" s="883"/>
      <c r="D102" s="877"/>
      <c r="E102" s="877"/>
    </row>
    <row r="103" spans="1:5" ht="19.5" customHeight="1">
      <c r="A103" s="882"/>
      <c r="B103" s="883"/>
      <c r="C103" s="883"/>
      <c r="D103" s="878"/>
      <c r="E103" s="878"/>
    </row>
    <row r="104" spans="1:5" ht="19.5" customHeight="1">
      <c r="A104" s="711" t="s">
        <v>4</v>
      </c>
      <c r="B104" s="730">
        <v>850481</v>
      </c>
      <c r="C104" s="730"/>
      <c r="D104" s="706"/>
      <c r="E104" s="706"/>
    </row>
    <row r="105" spans="1:5" ht="19.5" customHeight="1">
      <c r="A105" s="729" t="s">
        <v>399</v>
      </c>
      <c r="B105" s="730">
        <v>24766</v>
      </c>
      <c r="C105" s="730"/>
      <c r="D105" s="706"/>
      <c r="E105" s="706"/>
    </row>
    <row r="106" spans="1:5" ht="19.5" customHeight="1">
      <c r="A106" s="711" t="s">
        <v>11</v>
      </c>
      <c r="B106" s="730">
        <v>40000</v>
      </c>
      <c r="C106" s="730"/>
      <c r="D106" s="706"/>
      <c r="E106" s="706"/>
    </row>
    <row r="107" spans="1:5" ht="19.5" customHeight="1">
      <c r="A107" s="715" t="s">
        <v>5</v>
      </c>
      <c r="B107" s="716">
        <f>SUM(B103:B106)</f>
        <v>915247</v>
      </c>
      <c r="C107" s="716"/>
      <c r="D107" s="706"/>
      <c r="E107" s="706"/>
    </row>
    <row r="108" spans="1:3" ht="19.5" customHeight="1">
      <c r="A108" s="717"/>
      <c r="B108" s="718"/>
      <c r="C108" s="718"/>
    </row>
    <row r="109" spans="4:5" ht="19.5" customHeight="1">
      <c r="D109" s="702"/>
      <c r="E109" s="702"/>
    </row>
    <row r="110" spans="1:5" s="52" customFormat="1" ht="19.5" customHeight="1">
      <c r="A110" s="885" t="s">
        <v>418</v>
      </c>
      <c r="B110" s="885"/>
      <c r="C110" s="885"/>
      <c r="D110" s="885"/>
      <c r="E110" s="702"/>
    </row>
    <row r="111" spans="1:5" s="52" customFormat="1" ht="19.5" customHeight="1">
      <c r="A111" s="886" t="s">
        <v>0</v>
      </c>
      <c r="B111" s="883" t="s">
        <v>409</v>
      </c>
      <c r="C111" s="883" t="s">
        <v>412</v>
      </c>
      <c r="D111" s="876" t="s">
        <v>338</v>
      </c>
      <c r="E111" s="876" t="s">
        <v>415</v>
      </c>
    </row>
    <row r="112" spans="1:5" s="52" customFormat="1" ht="19.5" customHeight="1">
      <c r="A112" s="886"/>
      <c r="B112" s="883"/>
      <c r="C112" s="883"/>
      <c r="D112" s="877"/>
      <c r="E112" s="877"/>
    </row>
    <row r="113" spans="1:5" s="52" customFormat="1" ht="19.5" customHeight="1">
      <c r="A113" s="886"/>
      <c r="B113" s="883"/>
      <c r="C113" s="883"/>
      <c r="D113" s="878"/>
      <c r="E113" s="878"/>
    </row>
    <row r="114" spans="1:5" s="52" customFormat="1" ht="19.5" customHeight="1">
      <c r="A114" s="715" t="s">
        <v>371</v>
      </c>
      <c r="B114" s="728">
        <v>85000</v>
      </c>
      <c r="C114" s="728"/>
      <c r="D114" s="731"/>
      <c r="E114" s="731"/>
    </row>
    <row r="115" spans="1:5" s="52" customFormat="1" ht="19.5" customHeight="1">
      <c r="A115" s="707" t="s">
        <v>372</v>
      </c>
      <c r="B115" s="716">
        <v>0</v>
      </c>
      <c r="C115" s="716"/>
      <c r="D115" s="716"/>
      <c r="E115" s="716"/>
    </row>
    <row r="116" spans="1:5" s="52" customFormat="1" ht="19.5" customHeight="1">
      <c r="A116" s="707" t="s">
        <v>373</v>
      </c>
      <c r="B116" s="716">
        <v>0</v>
      </c>
      <c r="C116" s="716"/>
      <c r="D116" s="716"/>
      <c r="E116" s="716"/>
    </row>
    <row r="117" spans="1:5" s="52" customFormat="1" ht="19.5" customHeight="1">
      <c r="A117" s="707" t="s">
        <v>397</v>
      </c>
      <c r="B117" s="716">
        <v>0</v>
      </c>
      <c r="C117" s="716"/>
      <c r="D117" s="716"/>
      <c r="E117" s="716"/>
    </row>
    <row r="118" spans="1:5" s="52" customFormat="1" ht="19.5" customHeight="1">
      <c r="A118" s="711" t="s">
        <v>1</v>
      </c>
      <c r="B118" s="716">
        <v>5000</v>
      </c>
      <c r="C118" s="716"/>
      <c r="D118" s="725"/>
      <c r="E118" s="725"/>
    </row>
    <row r="119" spans="1:5" s="52" customFormat="1" ht="19.5" customHeight="1">
      <c r="A119" s="711" t="s">
        <v>8</v>
      </c>
      <c r="B119" s="716">
        <v>50000</v>
      </c>
      <c r="C119" s="716"/>
      <c r="D119" s="725"/>
      <c r="E119" s="725"/>
    </row>
    <row r="120" spans="1:5" s="52" customFormat="1" ht="19.5" customHeight="1">
      <c r="A120" s="711" t="s">
        <v>9</v>
      </c>
      <c r="B120" s="716">
        <v>10000</v>
      </c>
      <c r="C120" s="716"/>
      <c r="D120" s="725"/>
      <c r="E120" s="725"/>
    </row>
    <row r="121" spans="1:5" s="52" customFormat="1" ht="19.5" customHeight="1">
      <c r="A121" s="711" t="s">
        <v>16</v>
      </c>
      <c r="B121" s="716">
        <v>200000</v>
      </c>
      <c r="C121" s="716"/>
      <c r="D121" s="725"/>
      <c r="E121" s="725"/>
    </row>
    <row r="122" spans="1:5" s="52" customFormat="1" ht="19.5" customHeight="1">
      <c r="A122" s="711" t="s">
        <v>10</v>
      </c>
      <c r="B122" s="716">
        <v>1131692</v>
      </c>
      <c r="C122" s="716"/>
      <c r="D122" s="725"/>
      <c r="E122" s="725"/>
    </row>
    <row r="123" spans="1:5" s="52" customFormat="1" ht="19.5" customHeight="1">
      <c r="A123" s="711" t="s">
        <v>400</v>
      </c>
      <c r="B123" s="716">
        <v>263000</v>
      </c>
      <c r="C123" s="716"/>
      <c r="D123" s="725"/>
      <c r="E123" s="725"/>
    </row>
    <row r="124" spans="1:5" s="52" customFormat="1" ht="19.5" customHeight="1">
      <c r="A124" s="827" t="s">
        <v>2</v>
      </c>
      <c r="B124" s="828">
        <f>SUM(B114:B123)</f>
        <v>1744692</v>
      </c>
      <c r="C124" s="716">
        <f>SUM(C114:C123)</f>
        <v>0</v>
      </c>
      <c r="D124" s="731">
        <f>SUM(D115:D123)</f>
        <v>0</v>
      </c>
      <c r="E124" s="731">
        <f>SUM(E115:E123)</f>
        <v>0</v>
      </c>
    </row>
    <row r="125" spans="1:5" s="52" customFormat="1" ht="19.5" customHeight="1">
      <c r="A125" s="717"/>
      <c r="B125" s="718"/>
      <c r="C125" s="718"/>
      <c r="D125" s="703"/>
      <c r="E125" s="703"/>
    </row>
    <row r="126" spans="1:5" s="52" customFormat="1" ht="19.5" customHeight="1">
      <c r="A126" s="717"/>
      <c r="B126" s="718"/>
      <c r="C126" s="718"/>
      <c r="D126" s="703"/>
      <c r="E126" s="703"/>
    </row>
    <row r="127" spans="1:5" s="52" customFormat="1" ht="19.5" customHeight="1">
      <c r="A127" s="882" t="s">
        <v>379</v>
      </c>
      <c r="B127" s="883" t="s">
        <v>409</v>
      </c>
      <c r="C127" s="883" t="s">
        <v>412</v>
      </c>
      <c r="D127" s="876" t="s">
        <v>338</v>
      </c>
      <c r="E127" s="876" t="s">
        <v>415</v>
      </c>
    </row>
    <row r="128" spans="1:5" s="52" customFormat="1" ht="19.5" customHeight="1">
      <c r="A128" s="882"/>
      <c r="B128" s="883"/>
      <c r="C128" s="883"/>
      <c r="D128" s="877"/>
      <c r="E128" s="877"/>
    </row>
    <row r="129" spans="1:5" s="52" customFormat="1" ht="19.5" customHeight="1">
      <c r="A129" s="882"/>
      <c r="B129" s="883"/>
      <c r="C129" s="883"/>
      <c r="D129" s="878"/>
      <c r="E129" s="878"/>
    </row>
    <row r="130" spans="1:5" s="52" customFormat="1" ht="19.5" customHeight="1">
      <c r="A130" s="711" t="s">
        <v>11</v>
      </c>
      <c r="B130" s="716">
        <v>380000</v>
      </c>
      <c r="C130" s="716"/>
      <c r="D130" s="725"/>
      <c r="E130" s="725"/>
    </row>
    <row r="131" spans="1:5" s="52" customFormat="1" ht="19.5" customHeight="1">
      <c r="A131" s="711" t="s">
        <v>4</v>
      </c>
      <c r="B131" s="716">
        <v>1364691</v>
      </c>
      <c r="C131" s="716"/>
      <c r="D131" s="725"/>
      <c r="E131" s="725"/>
    </row>
    <row r="132" spans="1:5" s="52" customFormat="1" ht="19.5" customHeight="1" hidden="1">
      <c r="A132" s="707" t="s">
        <v>401</v>
      </c>
      <c r="B132" s="716"/>
      <c r="C132" s="716"/>
      <c r="D132" s="725"/>
      <c r="E132" s="725"/>
    </row>
    <row r="133" spans="1:5" s="52" customFormat="1" ht="19.5" customHeight="1" hidden="1">
      <c r="A133" s="707" t="s">
        <v>402</v>
      </c>
      <c r="B133" s="716"/>
      <c r="C133" s="716"/>
      <c r="D133" s="725"/>
      <c r="E133" s="725"/>
    </row>
    <row r="134" spans="1:5" s="52" customFormat="1" ht="19.5" customHeight="1" hidden="1">
      <c r="A134" s="707" t="s">
        <v>403</v>
      </c>
      <c r="B134" s="716"/>
      <c r="C134" s="716"/>
      <c r="D134" s="725"/>
      <c r="E134" s="725"/>
    </row>
    <row r="135" spans="1:5" s="52" customFormat="1" ht="19.5" customHeight="1" hidden="1">
      <c r="A135" s="707" t="s">
        <v>404</v>
      </c>
      <c r="B135" s="716"/>
      <c r="C135" s="716"/>
      <c r="D135" s="725"/>
      <c r="E135" s="725"/>
    </row>
    <row r="136" spans="1:5" s="52" customFormat="1" ht="19.5" customHeight="1">
      <c r="A136" s="827" t="s">
        <v>5</v>
      </c>
      <c r="B136" s="828">
        <f>SUM(B130:B135)</f>
        <v>1744691</v>
      </c>
      <c r="C136" s="716">
        <f>SUM(C130:C135)</f>
        <v>0</v>
      </c>
      <c r="D136" s="731">
        <f>SUM(D130:D135)</f>
        <v>0</v>
      </c>
      <c r="E136" s="731">
        <f>SUM(E130:E135)</f>
        <v>0</v>
      </c>
    </row>
    <row r="137" spans="1:5" s="52" customFormat="1" ht="19.5" customHeight="1">
      <c r="A137" s="717"/>
      <c r="B137" s="514"/>
      <c r="C137" s="514"/>
      <c r="D137" s="502"/>
      <c r="E137" s="502"/>
    </row>
    <row r="138" spans="1:5" s="52" customFormat="1" ht="19.5" customHeight="1">
      <c r="A138" s="717"/>
      <c r="B138" s="514"/>
      <c r="C138" s="514"/>
      <c r="D138" s="502"/>
      <c r="E138" s="502"/>
    </row>
    <row r="139" spans="1:5" ht="19.5" customHeight="1">
      <c r="A139" s="885" t="s">
        <v>419</v>
      </c>
      <c r="B139" s="885"/>
      <c r="C139" s="885"/>
      <c r="D139" s="885"/>
      <c r="E139" s="702"/>
    </row>
    <row r="140" spans="1:5" ht="19.5" customHeight="1">
      <c r="A140" s="886" t="s">
        <v>0</v>
      </c>
      <c r="B140" s="883" t="s">
        <v>409</v>
      </c>
      <c r="C140" s="883" t="s">
        <v>412</v>
      </c>
      <c r="D140" s="876" t="s">
        <v>338</v>
      </c>
      <c r="E140" s="876" t="s">
        <v>415</v>
      </c>
    </row>
    <row r="141" spans="1:5" ht="19.5" customHeight="1">
      <c r="A141" s="886"/>
      <c r="B141" s="883"/>
      <c r="C141" s="883"/>
      <c r="D141" s="877"/>
      <c r="E141" s="877"/>
    </row>
    <row r="142" spans="1:5" ht="19.5" customHeight="1">
      <c r="A142" s="886"/>
      <c r="B142" s="883"/>
      <c r="C142" s="883"/>
      <c r="D142" s="878"/>
      <c r="E142" s="878"/>
    </row>
    <row r="143" spans="1:5" ht="19.5" customHeight="1">
      <c r="A143" s="711" t="s">
        <v>1</v>
      </c>
      <c r="B143" s="716">
        <v>5000</v>
      </c>
      <c r="C143" s="716"/>
      <c r="D143" s="725"/>
      <c r="E143" s="725"/>
    </row>
    <row r="144" spans="1:5" ht="19.5" customHeight="1">
      <c r="A144" s="711" t="s">
        <v>8</v>
      </c>
      <c r="B144" s="716">
        <v>20000</v>
      </c>
      <c r="C144" s="716"/>
      <c r="D144" s="725"/>
      <c r="E144" s="725"/>
    </row>
    <row r="145" spans="1:5" ht="19.5" customHeight="1">
      <c r="A145" s="711" t="s">
        <v>398</v>
      </c>
      <c r="B145" s="716">
        <v>20000</v>
      </c>
      <c r="C145" s="716"/>
      <c r="D145" s="725"/>
      <c r="E145" s="725"/>
    </row>
    <row r="146" spans="1:5" ht="19.5" customHeight="1">
      <c r="A146" s="711" t="s">
        <v>9</v>
      </c>
      <c r="B146" s="716">
        <v>5000</v>
      </c>
      <c r="C146" s="716"/>
      <c r="D146" s="725"/>
      <c r="E146" s="725"/>
    </row>
    <row r="147" spans="1:5" ht="19.5" customHeight="1">
      <c r="A147" s="711" t="s">
        <v>10</v>
      </c>
      <c r="B147" s="716">
        <v>1108312</v>
      </c>
      <c r="C147" s="716"/>
      <c r="D147" s="725"/>
      <c r="E147" s="725"/>
    </row>
    <row r="148" spans="1:5" ht="19.5" customHeight="1">
      <c r="A148" s="715" t="s">
        <v>405</v>
      </c>
      <c r="B148" s="716">
        <v>80000</v>
      </c>
      <c r="C148" s="716"/>
      <c r="D148" s="725"/>
      <c r="E148" s="725"/>
    </row>
    <row r="149" spans="1:5" ht="19.5" customHeight="1">
      <c r="A149" s="715" t="s">
        <v>406</v>
      </c>
      <c r="B149" s="716">
        <v>180000</v>
      </c>
      <c r="C149" s="716"/>
      <c r="D149" s="725"/>
      <c r="E149" s="725"/>
    </row>
    <row r="150" spans="1:5" ht="19.5" customHeight="1">
      <c r="A150" s="715" t="s">
        <v>420</v>
      </c>
      <c r="B150" s="716">
        <v>30000</v>
      </c>
      <c r="C150" s="716"/>
      <c r="D150" s="725"/>
      <c r="E150" s="725"/>
    </row>
    <row r="151" spans="1:5" ht="19.5" customHeight="1">
      <c r="A151" s="827" t="s">
        <v>2</v>
      </c>
      <c r="B151" s="828">
        <f>SUM(B143:B150)</f>
        <v>1448312</v>
      </c>
      <c r="C151" s="716">
        <f>SUM(C143:C150)</f>
        <v>0</v>
      </c>
      <c r="D151" s="731">
        <f>SUM(D143:D150)</f>
        <v>0</v>
      </c>
      <c r="E151" s="731">
        <f>SUM(E143:E150)</f>
        <v>0</v>
      </c>
    </row>
    <row r="152" spans="1:3" ht="19.5" customHeight="1">
      <c r="A152" s="717"/>
      <c r="B152" s="718"/>
      <c r="C152" s="718"/>
    </row>
    <row r="153" spans="1:5" ht="19.5" customHeight="1">
      <c r="A153" s="882" t="s">
        <v>379</v>
      </c>
      <c r="B153" s="883" t="s">
        <v>409</v>
      </c>
      <c r="C153" s="883" t="s">
        <v>412</v>
      </c>
      <c r="D153" s="876" t="s">
        <v>338</v>
      </c>
      <c r="E153" s="876" t="s">
        <v>415</v>
      </c>
    </row>
    <row r="154" spans="1:5" ht="19.5" customHeight="1">
      <c r="A154" s="882"/>
      <c r="B154" s="883"/>
      <c r="C154" s="883"/>
      <c r="D154" s="877"/>
      <c r="E154" s="877"/>
    </row>
    <row r="155" spans="1:5" ht="19.5" customHeight="1">
      <c r="A155" s="882"/>
      <c r="B155" s="883"/>
      <c r="C155" s="883"/>
      <c r="D155" s="878"/>
      <c r="E155" s="878"/>
    </row>
    <row r="156" spans="1:5" ht="19.5" customHeight="1">
      <c r="A156" s="711" t="s">
        <v>4</v>
      </c>
      <c r="B156" s="716">
        <v>1448312</v>
      </c>
      <c r="C156" s="716"/>
      <c r="D156" s="706"/>
      <c r="E156" s="706"/>
    </row>
    <row r="157" spans="1:5" ht="19.5" customHeight="1" hidden="1">
      <c r="A157" s="723" t="s">
        <v>408</v>
      </c>
      <c r="B157" s="716"/>
      <c r="C157" s="716"/>
      <c r="D157" s="706"/>
      <c r="E157" s="706"/>
    </row>
    <row r="158" spans="1:5" ht="19.5" customHeight="1" hidden="1">
      <c r="A158" s="723" t="s">
        <v>63</v>
      </c>
      <c r="B158" s="716"/>
      <c r="C158" s="716"/>
      <c r="D158" s="706"/>
      <c r="E158" s="706"/>
    </row>
    <row r="159" spans="1:5" ht="19.5" customHeight="1" hidden="1">
      <c r="A159" s="723" t="s">
        <v>407</v>
      </c>
      <c r="B159" s="716"/>
      <c r="C159" s="716"/>
      <c r="D159" s="706"/>
      <c r="E159" s="706"/>
    </row>
    <row r="160" spans="1:5" ht="19.5" customHeight="1">
      <c r="A160" s="715" t="s">
        <v>5</v>
      </c>
      <c r="B160" s="716">
        <f>SUM(B156:B159)</f>
        <v>1448312</v>
      </c>
      <c r="C160" s="716">
        <f>SUM(C156:C159)</f>
        <v>0</v>
      </c>
      <c r="D160" s="706">
        <f>SUM(D156:D159)</f>
        <v>0</v>
      </c>
      <c r="E160" s="706"/>
    </row>
    <row r="161" spans="1:5" s="52" customFormat="1" ht="19.5" customHeight="1">
      <c r="A161" s="717"/>
      <c r="B161" s="514"/>
      <c r="C161" s="514"/>
      <c r="D161" s="502"/>
      <c r="E161" s="502"/>
    </row>
    <row r="162" spans="1:3" ht="19.5" customHeight="1">
      <c r="A162" s="717"/>
      <c r="B162" s="718"/>
      <c r="C162" s="718"/>
    </row>
    <row r="163" spans="1:4" ht="19.5" customHeight="1">
      <c r="A163" s="717" t="s">
        <v>421</v>
      </c>
      <c r="B163" s="718">
        <f>B156+B131+B104+B105+B38+B39</f>
        <v>14798774</v>
      </c>
      <c r="C163" s="514">
        <f>C156+C131+C104+C105+C38+C39</f>
        <v>0</v>
      </c>
      <c r="D163" s="514">
        <f>D156+D131+D104+D105+D38+D39</f>
        <v>0</v>
      </c>
    </row>
    <row r="164" spans="1:3" ht="19.5" customHeight="1">
      <c r="A164" s="717"/>
      <c r="B164" s="718"/>
      <c r="C164" s="718"/>
    </row>
    <row r="165" spans="1:3" ht="19.5" customHeight="1">
      <c r="A165" s="717"/>
      <c r="B165" s="718"/>
      <c r="C165" s="718"/>
    </row>
    <row r="166" spans="1:3" ht="19.5" customHeight="1">
      <c r="A166" s="717"/>
      <c r="B166" s="718"/>
      <c r="C166" s="718"/>
    </row>
    <row r="167" spans="1:3" ht="19.5" customHeight="1">
      <c r="A167" s="717"/>
      <c r="B167" s="718"/>
      <c r="C167" s="718"/>
    </row>
    <row r="168" ht="19.5" customHeight="1"/>
    <row r="169" spans="1:3" s="703" customFormat="1" ht="19.5" customHeight="1">
      <c r="A169" s="732"/>
      <c r="B169" s="733"/>
      <c r="C169" s="734"/>
    </row>
    <row r="170" spans="1:2" s="703" customFormat="1" ht="19.5" customHeight="1">
      <c r="A170" s="717"/>
      <c r="B170" s="735"/>
    </row>
    <row r="171" spans="1:2" s="703" customFormat="1" ht="19.5" customHeight="1">
      <c r="A171" s="720"/>
      <c r="B171" s="735"/>
    </row>
    <row r="172" spans="1:8" s="703" customFormat="1" ht="19.5" customHeight="1">
      <c r="A172" s="717"/>
      <c r="B172" s="733"/>
      <c r="H172" s="25"/>
    </row>
    <row r="173" spans="1:8" s="703" customFormat="1" ht="19.5" customHeight="1">
      <c r="A173" s="732"/>
      <c r="B173" s="733"/>
      <c r="H173" s="25"/>
    </row>
    <row r="174" spans="1:8" s="703" customFormat="1" ht="19.5" customHeight="1">
      <c r="A174" s="131"/>
      <c r="B174" s="733"/>
      <c r="H174" s="514"/>
    </row>
    <row r="175" spans="1:8" s="703" customFormat="1" ht="19.5" customHeight="1">
      <c r="A175" s="131"/>
      <c r="B175" s="733"/>
      <c r="H175" s="514"/>
    </row>
    <row r="176" spans="1:8" s="703" customFormat="1" ht="19.5" customHeight="1">
      <c r="A176" s="131"/>
      <c r="B176" s="733"/>
      <c r="H176" s="25"/>
    </row>
    <row r="177" spans="1:8" s="703" customFormat="1" ht="19.5" customHeight="1">
      <c r="A177" s="131"/>
      <c r="B177" s="733"/>
      <c r="H177" s="25"/>
    </row>
    <row r="178" spans="1:2" s="703" customFormat="1" ht="19.5" customHeight="1">
      <c r="A178" s="131"/>
      <c r="B178" s="733"/>
    </row>
    <row r="179" spans="1:2" s="703" customFormat="1" ht="19.5" customHeight="1">
      <c r="A179" s="131"/>
      <c r="B179" s="733"/>
    </row>
    <row r="180" spans="1:2" s="703" customFormat="1" ht="19.5" customHeight="1">
      <c r="A180" s="736"/>
      <c r="B180" s="733"/>
    </row>
    <row r="181" spans="1:2" s="703" customFormat="1" ht="19.5" customHeight="1">
      <c r="A181" s="737"/>
      <c r="B181" s="733"/>
    </row>
    <row r="182" spans="1:3" s="703" customFormat="1" ht="19.5" customHeight="1">
      <c r="A182" s="25"/>
      <c r="B182" s="733"/>
      <c r="C182" s="734"/>
    </row>
    <row r="183" spans="1:3" s="703" customFormat="1" ht="19.5" customHeight="1">
      <c r="A183" s="738"/>
      <c r="B183" s="733"/>
      <c r="C183" s="734"/>
    </row>
    <row r="184" spans="1:3" s="703" customFormat="1" ht="19.5" customHeight="1">
      <c r="A184" s="25"/>
      <c r="B184" s="733"/>
      <c r="C184" s="734"/>
    </row>
    <row r="185" spans="1:3" s="703" customFormat="1" ht="19.5" customHeight="1">
      <c r="A185" s="131"/>
      <c r="B185" s="733"/>
      <c r="C185" s="734"/>
    </row>
    <row r="186" spans="1:3" s="703" customFormat="1" ht="19.5" customHeight="1">
      <c r="A186" s="720"/>
      <c r="B186" s="733"/>
      <c r="C186" s="734"/>
    </row>
    <row r="187" spans="1:8" s="703" customFormat="1" ht="19.5" customHeight="1">
      <c r="A187" s="720"/>
      <c r="B187" s="733"/>
      <c r="C187" s="734"/>
      <c r="H187" s="739"/>
    </row>
    <row r="188" spans="1:8" s="703" customFormat="1" ht="19.5" customHeight="1">
      <c r="A188" s="720"/>
      <c r="B188" s="733"/>
      <c r="C188" s="734"/>
      <c r="H188" s="739"/>
    </row>
    <row r="189" spans="1:8" s="703" customFormat="1" ht="19.5" customHeight="1">
      <c r="A189" s="720"/>
      <c r="B189" s="733"/>
      <c r="C189" s="734"/>
      <c r="H189" s="739"/>
    </row>
    <row r="190" spans="1:8" s="703" customFormat="1" ht="19.5" customHeight="1">
      <c r="A190" s="720"/>
      <c r="B190" s="733"/>
      <c r="C190" s="734"/>
      <c r="H190" s="739"/>
    </row>
    <row r="191" spans="1:8" s="703" customFormat="1" ht="19.5" customHeight="1">
      <c r="A191" s="740"/>
      <c r="B191" s="733"/>
      <c r="C191" s="734"/>
      <c r="H191" s="739"/>
    </row>
    <row r="192" spans="1:8" s="703" customFormat="1" ht="19.5" customHeight="1">
      <c r="A192" s="720"/>
      <c r="B192" s="733"/>
      <c r="C192" s="734"/>
      <c r="H192" s="739"/>
    </row>
    <row r="193" spans="1:8" s="703" customFormat="1" ht="19.5" customHeight="1">
      <c r="A193" s="720"/>
      <c r="B193" s="733"/>
      <c r="C193" s="734"/>
      <c r="H193" s="739"/>
    </row>
    <row r="194" spans="1:8" s="703" customFormat="1" ht="19.5" customHeight="1">
      <c r="A194" s="720"/>
      <c r="B194" s="733"/>
      <c r="C194" s="734"/>
      <c r="H194" s="739"/>
    </row>
    <row r="195" spans="1:3" s="703" customFormat="1" ht="19.5" customHeight="1">
      <c r="A195" s="720"/>
      <c r="B195" s="733"/>
      <c r="C195" s="734"/>
    </row>
    <row r="196" spans="1:3" s="703" customFormat="1" ht="19.5" customHeight="1">
      <c r="A196" s="720"/>
      <c r="B196" s="733"/>
      <c r="C196" s="734"/>
    </row>
    <row r="197" spans="1:3" s="703" customFormat="1" ht="19.5" customHeight="1">
      <c r="A197" s="720"/>
      <c r="B197" s="733"/>
      <c r="C197" s="734"/>
    </row>
    <row r="198" spans="1:3" s="703" customFormat="1" ht="19.5" customHeight="1">
      <c r="A198" s="720"/>
      <c r="B198" s="733"/>
      <c r="C198" s="734"/>
    </row>
    <row r="199" spans="1:3" s="703" customFormat="1" ht="19.5" customHeight="1">
      <c r="A199" s="720"/>
      <c r="B199" s="733"/>
      <c r="C199" s="734"/>
    </row>
    <row r="200" spans="1:3" s="703" customFormat="1" ht="19.5" customHeight="1">
      <c r="A200" s="717"/>
      <c r="B200" s="733"/>
      <c r="C200" s="734"/>
    </row>
    <row r="201" spans="1:3" s="703" customFormat="1" ht="19.5" customHeight="1">
      <c r="A201" s="720"/>
      <c r="B201" s="733"/>
      <c r="C201" s="734"/>
    </row>
    <row r="202" spans="1:3" s="703" customFormat="1" ht="19.5" customHeight="1">
      <c r="A202" s="720"/>
      <c r="B202" s="733"/>
      <c r="C202" s="734"/>
    </row>
    <row r="203" spans="1:3" s="703" customFormat="1" ht="19.5" customHeight="1">
      <c r="A203" s="740"/>
      <c r="B203" s="733"/>
      <c r="C203" s="734"/>
    </row>
    <row r="204" spans="1:3" s="703" customFormat="1" ht="19.5" customHeight="1">
      <c r="A204" s="740"/>
      <c r="B204" s="733"/>
      <c r="C204" s="734"/>
    </row>
    <row r="205" spans="1:2" s="703" customFormat="1" ht="19.5" customHeight="1">
      <c r="A205" s="720"/>
      <c r="B205" s="733"/>
    </row>
    <row r="206" spans="1:2" s="703" customFormat="1" ht="19.5" customHeight="1">
      <c r="A206" s="720"/>
      <c r="B206" s="733"/>
    </row>
    <row r="207" spans="1:2" s="703" customFormat="1" ht="19.5" customHeight="1">
      <c r="A207" s="720"/>
      <c r="B207" s="733"/>
    </row>
    <row r="208" spans="1:2" s="703" customFormat="1" ht="19.5" customHeight="1">
      <c r="A208" s="720"/>
      <c r="B208" s="733"/>
    </row>
    <row r="209" spans="1:2" s="703" customFormat="1" ht="19.5" customHeight="1">
      <c r="A209" s="720"/>
      <c r="B209" s="733"/>
    </row>
    <row r="210" spans="1:3" s="703" customFormat="1" ht="19.5" customHeight="1">
      <c r="A210" s="702"/>
      <c r="B210" s="702"/>
      <c r="C210" s="702"/>
    </row>
    <row r="211" spans="1:3" s="703" customFormat="1" ht="19.5" customHeight="1">
      <c r="A211" s="717"/>
      <c r="B211" s="702"/>
      <c r="C211" s="702"/>
    </row>
    <row r="212" spans="1:3" s="703" customFormat="1" ht="19.5" customHeight="1">
      <c r="A212" s="717"/>
      <c r="B212" s="702"/>
      <c r="C212" s="702"/>
    </row>
    <row r="213" spans="1:3" s="703" customFormat="1" ht="19.5" customHeight="1">
      <c r="A213" s="25"/>
      <c r="B213" s="739"/>
      <c r="C213" s="702"/>
    </row>
    <row r="214" spans="1:3" s="703" customFormat="1" ht="19.5" customHeight="1">
      <c r="A214" s="25"/>
      <c r="B214" s="741"/>
      <c r="C214" s="25"/>
    </row>
    <row r="215" spans="1:3" s="703" customFormat="1" ht="19.5" customHeight="1">
      <c r="A215" s="25"/>
      <c r="B215" s="274"/>
      <c r="C215" s="25"/>
    </row>
    <row r="216" spans="1:3" s="703" customFormat="1" ht="19.5" customHeight="1">
      <c r="A216" s="131"/>
      <c r="B216" s="274"/>
      <c r="C216" s="25"/>
    </row>
    <row r="217" spans="1:3" s="703" customFormat="1" ht="19.5" customHeight="1">
      <c r="A217" s="131"/>
      <c r="B217" s="741"/>
      <c r="C217" s="25"/>
    </row>
    <row r="218" spans="1:3" s="703" customFormat="1" ht="19.5" customHeight="1">
      <c r="A218" s="131"/>
      <c r="B218" s="741"/>
      <c r="C218" s="25"/>
    </row>
    <row r="219" spans="1:3" s="703" customFormat="1" ht="19.5" customHeight="1">
      <c r="A219" s="131"/>
      <c r="B219" s="274"/>
      <c r="C219" s="25"/>
    </row>
    <row r="220" spans="1:3" s="703" customFormat="1" ht="19.5" customHeight="1">
      <c r="A220" s="131"/>
      <c r="B220" s="274"/>
      <c r="C220" s="25"/>
    </row>
    <row r="221" spans="1:3" s="703" customFormat="1" ht="19.5" customHeight="1">
      <c r="A221" s="131"/>
      <c r="B221" s="274"/>
      <c r="C221" s="25"/>
    </row>
    <row r="222" spans="1:3" s="703" customFormat="1" ht="19.5" customHeight="1">
      <c r="A222" s="131"/>
      <c r="B222" s="274"/>
      <c r="C222" s="25"/>
    </row>
    <row r="223" spans="1:3" s="703" customFormat="1" ht="19.5" customHeight="1">
      <c r="A223" s="131"/>
      <c r="B223" s="274"/>
      <c r="C223" s="25"/>
    </row>
    <row r="224" spans="1:3" s="703" customFormat="1" ht="19.5" customHeight="1">
      <c r="A224" s="52"/>
      <c r="B224" s="52"/>
      <c r="C224" s="25"/>
    </row>
    <row r="225" spans="1:3" s="703" customFormat="1" ht="19.5" customHeight="1">
      <c r="A225" s="717"/>
      <c r="B225" s="52"/>
      <c r="C225" s="25"/>
    </row>
    <row r="226" spans="1:3" s="703" customFormat="1" ht="19.5" customHeight="1">
      <c r="A226" s="717"/>
      <c r="B226" s="742"/>
      <c r="C226" s="25"/>
    </row>
    <row r="227" spans="1:3" ht="19.5" customHeight="1">
      <c r="A227" s="131"/>
      <c r="B227" s="741"/>
      <c r="C227" s="514"/>
    </row>
    <row r="228" spans="1:3" ht="19.5" customHeight="1">
      <c r="A228" s="131"/>
      <c r="B228" s="741"/>
      <c r="C228" s="514"/>
    </row>
    <row r="229" spans="1:3" s="703" customFormat="1" ht="19.5" customHeight="1">
      <c r="A229" s="131"/>
      <c r="B229" s="742"/>
      <c r="C229" s="25"/>
    </row>
    <row r="230" spans="1:3" s="703" customFormat="1" ht="19.5" customHeight="1">
      <c r="A230" s="131"/>
      <c r="B230" s="742"/>
      <c r="C230" s="25"/>
    </row>
    <row r="231" spans="1:2" s="703" customFormat="1" ht="19.5" customHeight="1">
      <c r="A231" s="131"/>
      <c r="B231" s="743"/>
    </row>
    <row r="232" spans="1:2" s="703" customFormat="1" ht="19.5" customHeight="1">
      <c r="A232" s="131"/>
      <c r="B232" s="743"/>
    </row>
    <row r="233" spans="1:2" s="703" customFormat="1" ht="19.5" customHeight="1">
      <c r="A233" s="25"/>
      <c r="B233" s="743"/>
    </row>
    <row r="234" spans="1:2" s="703" customFormat="1" ht="19.5" customHeight="1">
      <c r="A234" s="25"/>
      <c r="B234" s="744"/>
    </row>
    <row r="235" spans="1:2" s="703" customFormat="1" ht="19.5" customHeight="1">
      <c r="A235" s="25"/>
      <c r="B235" s="743"/>
    </row>
    <row r="236" spans="1:2" s="703" customFormat="1" ht="19.5" customHeight="1">
      <c r="A236" s="25"/>
      <c r="B236" s="744"/>
    </row>
    <row r="237" spans="1:2" s="703" customFormat="1" ht="19.5" customHeight="1">
      <c r="A237" s="25"/>
      <c r="B237" s="744"/>
    </row>
    <row r="238" spans="1:2" s="703" customFormat="1" ht="19.5" customHeight="1">
      <c r="A238" s="25"/>
      <c r="B238" s="744"/>
    </row>
    <row r="239" spans="1:2" s="703" customFormat="1" ht="19.5" customHeight="1">
      <c r="A239" s="717"/>
      <c r="B239" s="702"/>
    </row>
    <row r="240" spans="1:3" s="703" customFormat="1" ht="19.5" customHeight="1">
      <c r="A240" s="131"/>
      <c r="B240" s="739"/>
      <c r="C240" s="702"/>
    </row>
    <row r="241" spans="1:3" s="703" customFormat="1" ht="19.5" customHeight="1">
      <c r="A241" s="131"/>
      <c r="B241" s="739"/>
      <c r="C241" s="702"/>
    </row>
    <row r="242" spans="1:3" s="703" customFormat="1" ht="19.5" customHeight="1">
      <c r="A242" s="131"/>
      <c r="B242" s="739"/>
      <c r="C242" s="702"/>
    </row>
    <row r="243" spans="1:3" s="703" customFormat="1" ht="19.5" customHeight="1">
      <c r="A243" s="131"/>
      <c r="B243" s="739"/>
      <c r="C243" s="702"/>
    </row>
    <row r="244" spans="1:3" s="703" customFormat="1" ht="19.5" customHeight="1">
      <c r="A244" s="131"/>
      <c r="B244" s="739"/>
      <c r="C244" s="702"/>
    </row>
    <row r="245" spans="1:3" s="703" customFormat="1" ht="19.5" customHeight="1">
      <c r="A245" s="717"/>
      <c r="B245" s="739"/>
      <c r="C245" s="702"/>
    </row>
    <row r="246" spans="1:3" s="703" customFormat="1" ht="19.5" customHeight="1">
      <c r="A246" s="717"/>
      <c r="B246" s="739"/>
      <c r="C246" s="702"/>
    </row>
    <row r="247" spans="1:3" s="703" customFormat="1" ht="19.5" customHeight="1">
      <c r="A247" s="717"/>
      <c r="B247" s="739"/>
      <c r="C247" s="702"/>
    </row>
    <row r="248" s="703" customFormat="1" ht="19.5" customHeight="1">
      <c r="C248" s="702"/>
    </row>
    <row r="249" s="703" customFormat="1" ht="19.5" customHeight="1">
      <c r="C249" s="702"/>
    </row>
    <row r="250" s="703" customFormat="1" ht="19.5" customHeight="1">
      <c r="C250" s="702"/>
    </row>
    <row r="251" s="703" customFormat="1" ht="19.5" customHeight="1">
      <c r="C251" s="702"/>
    </row>
    <row r="252" spans="1:3" s="703" customFormat="1" ht="19.5" customHeight="1">
      <c r="A252" s="745"/>
      <c r="C252" s="702"/>
    </row>
    <row r="253" s="703" customFormat="1" ht="19.5" customHeight="1">
      <c r="C253" s="702"/>
    </row>
    <row r="254" s="703" customFormat="1" ht="19.5" customHeight="1">
      <c r="C254" s="702"/>
    </row>
    <row r="255" spans="2:3" s="703" customFormat="1" ht="19.5" customHeight="1">
      <c r="B255" s="702"/>
      <c r="C255" s="702"/>
    </row>
    <row r="256" spans="2:3" s="703" customFormat="1" ht="19.5" customHeight="1">
      <c r="B256" s="702"/>
      <c r="C256" s="702"/>
    </row>
    <row r="257" spans="2:3" s="703" customFormat="1" ht="19.5" customHeight="1">
      <c r="B257" s="702"/>
      <c r="C257" s="702"/>
    </row>
    <row r="258" spans="2:3" s="703" customFormat="1" ht="19.5" customHeight="1">
      <c r="B258" s="702"/>
      <c r="C258" s="702"/>
    </row>
    <row r="259" spans="2:3" s="703" customFormat="1" ht="19.5" customHeight="1">
      <c r="B259" s="702"/>
      <c r="C259" s="702"/>
    </row>
    <row r="260" spans="1:3" s="703" customFormat="1" ht="19.5" customHeight="1">
      <c r="A260" s="134"/>
      <c r="B260" s="702"/>
      <c r="C260" s="702"/>
    </row>
    <row r="261" spans="1:3" s="703" customFormat="1" ht="19.5" customHeight="1">
      <c r="A261" s="134"/>
      <c r="B261" s="702"/>
      <c r="C261" s="702"/>
    </row>
    <row r="262" spans="1:3" s="703" customFormat="1" ht="19.5" customHeight="1">
      <c r="A262" s="134"/>
      <c r="B262" s="702"/>
      <c r="C262" s="702"/>
    </row>
    <row r="263" spans="1:3" s="703" customFormat="1" ht="19.5" customHeight="1">
      <c r="A263" s="134"/>
      <c r="B263" s="702"/>
      <c r="C263" s="702"/>
    </row>
    <row r="264" spans="1:3" s="703" customFormat="1" ht="19.5" customHeight="1">
      <c r="A264" s="134"/>
      <c r="B264" s="702"/>
      <c r="C264" s="702"/>
    </row>
    <row r="265" spans="1:3" s="703" customFormat="1" ht="19.5" customHeight="1">
      <c r="A265" s="134"/>
      <c r="B265" s="702"/>
      <c r="C265" s="702"/>
    </row>
    <row r="266" spans="1:3" s="703" customFormat="1" ht="19.5" customHeight="1">
      <c r="A266" s="134"/>
      <c r="B266" s="702"/>
      <c r="C266" s="702"/>
    </row>
    <row r="267" spans="1:3" s="703" customFormat="1" ht="19.5" customHeight="1">
      <c r="A267" s="134"/>
      <c r="B267" s="702"/>
      <c r="C267" s="702"/>
    </row>
    <row r="268" spans="1:3" s="703" customFormat="1" ht="19.5" customHeight="1">
      <c r="A268" s="134"/>
      <c r="B268" s="702"/>
      <c r="C268" s="702"/>
    </row>
    <row r="269" spans="1:3" s="703" customFormat="1" ht="19.5" customHeight="1">
      <c r="A269" s="134"/>
      <c r="B269" s="702"/>
      <c r="C269" s="702"/>
    </row>
    <row r="270" spans="1:3" s="703" customFormat="1" ht="19.5" customHeight="1">
      <c r="A270" s="134"/>
      <c r="B270" s="702"/>
      <c r="C270" s="702"/>
    </row>
    <row r="271" spans="1:3" s="703" customFormat="1" ht="19.5" customHeight="1">
      <c r="A271" s="134"/>
      <c r="B271" s="702"/>
      <c r="C271" s="702"/>
    </row>
    <row r="272" spans="1:3" s="703" customFormat="1" ht="19.5" customHeight="1">
      <c r="A272" s="134"/>
      <c r="B272" s="702"/>
      <c r="C272" s="702"/>
    </row>
    <row r="273" spans="1:3" s="703" customFormat="1" ht="19.5" customHeight="1">
      <c r="A273" s="134"/>
      <c r="B273" s="702"/>
      <c r="C273" s="702"/>
    </row>
    <row r="274" spans="1:3" s="703" customFormat="1" ht="19.5" customHeight="1">
      <c r="A274" s="134"/>
      <c r="B274" s="702"/>
      <c r="C274" s="702"/>
    </row>
    <row r="275" spans="1:3" s="703" customFormat="1" ht="19.5" customHeight="1">
      <c r="A275" s="134"/>
      <c r="B275" s="702"/>
      <c r="C275" s="702"/>
    </row>
    <row r="276" spans="1:3" s="703" customFormat="1" ht="19.5" customHeight="1">
      <c r="A276" s="134"/>
      <c r="B276" s="702"/>
      <c r="C276" s="702"/>
    </row>
    <row r="277" spans="1:3" s="703" customFormat="1" ht="19.5" customHeight="1">
      <c r="A277" s="52"/>
      <c r="B277" s="702"/>
      <c r="C277" s="702"/>
    </row>
    <row r="278" spans="1:3" s="703" customFormat="1" ht="19.5" customHeight="1">
      <c r="A278" s="52"/>
      <c r="B278" s="702"/>
      <c r="C278" s="702"/>
    </row>
    <row r="279" spans="1:3" s="703" customFormat="1" ht="19.5" customHeight="1">
      <c r="A279" s="52"/>
      <c r="B279" s="702"/>
      <c r="C279" s="702"/>
    </row>
    <row r="280" spans="1:3" s="703" customFormat="1" ht="19.5" customHeight="1">
      <c r="A280" s="52"/>
      <c r="B280" s="52"/>
      <c r="C280" s="52"/>
    </row>
    <row r="281" spans="1:3" s="703" customFormat="1" ht="19.5" customHeight="1">
      <c r="A281" s="717"/>
      <c r="B281" s="52"/>
      <c r="C281" s="52"/>
    </row>
    <row r="282" spans="1:3" s="703" customFormat="1" ht="19.5" customHeight="1">
      <c r="A282" s="717"/>
      <c r="B282" s="52"/>
      <c r="C282" s="52"/>
    </row>
    <row r="283" spans="1:3" s="703" customFormat="1" ht="19.5" customHeight="1">
      <c r="A283" s="25"/>
      <c r="B283" s="52"/>
      <c r="C283" s="52"/>
    </row>
    <row r="284" spans="1:3" s="703" customFormat="1" ht="19.5" customHeight="1">
      <c r="A284" s="25"/>
      <c r="B284" s="52"/>
      <c r="C284" s="52"/>
    </row>
    <row r="285" spans="1:3" s="703" customFormat="1" ht="19.5" customHeight="1">
      <c r="A285" s="25"/>
      <c r="B285" s="52"/>
      <c r="C285" s="52"/>
    </row>
    <row r="286" spans="1:3" s="703" customFormat="1" ht="19.5" customHeight="1">
      <c r="A286" s="131"/>
      <c r="B286" s="52"/>
      <c r="C286" s="52"/>
    </row>
    <row r="287" spans="1:3" s="703" customFormat="1" ht="19.5" customHeight="1">
      <c r="A287" s="131"/>
      <c r="B287" s="52"/>
      <c r="C287" s="52"/>
    </row>
    <row r="288" spans="1:3" s="703" customFormat="1" ht="19.5" customHeight="1">
      <c r="A288" s="131"/>
      <c r="B288" s="52"/>
      <c r="C288" s="52"/>
    </row>
    <row r="289" spans="1:3" s="703" customFormat="1" ht="19.5" customHeight="1">
      <c r="A289" s="131"/>
      <c r="B289" s="52"/>
      <c r="C289" s="52"/>
    </row>
    <row r="290" spans="1:3" s="703" customFormat="1" ht="19.5" customHeight="1">
      <c r="A290" s="746"/>
      <c r="B290" s="52"/>
      <c r="C290" s="52"/>
    </row>
    <row r="291" spans="1:3" s="703" customFormat="1" ht="19.5" customHeight="1">
      <c r="A291" s="746"/>
      <c r="B291" s="52"/>
      <c r="C291" s="52"/>
    </row>
    <row r="292" spans="1:3" s="703" customFormat="1" ht="19.5" customHeight="1">
      <c r="A292" s="52"/>
      <c r="B292" s="52"/>
      <c r="C292" s="52"/>
    </row>
    <row r="293" spans="1:3" s="703" customFormat="1" ht="19.5" customHeight="1">
      <c r="A293" s="52"/>
      <c r="B293" s="52"/>
      <c r="C293" s="52"/>
    </row>
    <row r="294" spans="1:3" s="703" customFormat="1" ht="19.5" customHeight="1">
      <c r="A294" s="52"/>
      <c r="B294" s="52"/>
      <c r="C294" s="52"/>
    </row>
    <row r="295" spans="1:3" s="703" customFormat="1" ht="19.5" customHeight="1">
      <c r="A295" s="52"/>
      <c r="B295" s="52"/>
      <c r="C295" s="52"/>
    </row>
    <row r="296" spans="1:3" s="703" customFormat="1" ht="19.5" customHeight="1">
      <c r="A296" s="52"/>
      <c r="B296" s="52"/>
      <c r="C296" s="52"/>
    </row>
    <row r="297" spans="1:3" s="703" customFormat="1" ht="19.5" customHeight="1">
      <c r="A297" s="52"/>
      <c r="B297" s="52"/>
      <c r="C297" s="52"/>
    </row>
    <row r="298" spans="1:3" s="703" customFormat="1" ht="19.5" customHeight="1">
      <c r="A298" s="52"/>
      <c r="B298" s="52"/>
      <c r="C298" s="52"/>
    </row>
    <row r="299" spans="1:3" s="703" customFormat="1" ht="19.5" customHeight="1">
      <c r="A299" s="52"/>
      <c r="B299" s="52"/>
      <c r="C299" s="52"/>
    </row>
    <row r="300" spans="1:3" s="703" customFormat="1" ht="19.5" customHeight="1">
      <c r="A300" s="52"/>
      <c r="B300" s="52"/>
      <c r="C300" s="52"/>
    </row>
    <row r="301" spans="1:3" s="703" customFormat="1" ht="19.5" customHeight="1">
      <c r="A301" s="52"/>
      <c r="B301" s="52"/>
      <c r="C301" s="52"/>
    </row>
    <row r="302" spans="1:3" s="703" customFormat="1" ht="19.5" customHeight="1">
      <c r="A302" s="52"/>
      <c r="B302" s="52"/>
      <c r="C302" s="52"/>
    </row>
    <row r="303" spans="1:3" s="703" customFormat="1" ht="19.5" customHeight="1">
      <c r="A303" s="52"/>
      <c r="B303" s="52"/>
      <c r="C303" s="52"/>
    </row>
    <row r="304" spans="1:3" s="703" customFormat="1" ht="19.5" customHeight="1">
      <c r="A304" s="52"/>
      <c r="B304" s="733"/>
      <c r="C304" s="25"/>
    </row>
    <row r="305" spans="1:3" s="703" customFormat="1" ht="19.5" customHeight="1">
      <c r="A305" s="52"/>
      <c r="B305" s="733"/>
      <c r="C305" s="25"/>
    </row>
    <row r="306" spans="1:3" s="703" customFormat="1" ht="19.5" customHeight="1">
      <c r="A306" s="52"/>
      <c r="B306" s="52"/>
      <c r="C306" s="52"/>
    </row>
    <row r="307" spans="1:3" s="703" customFormat="1" ht="19.5" customHeight="1">
      <c r="A307" s="747"/>
      <c r="B307" s="52"/>
      <c r="C307" s="52"/>
    </row>
    <row r="308" spans="1:3" s="703" customFormat="1" ht="19.5" customHeight="1">
      <c r="A308" s="717"/>
      <c r="B308" s="52"/>
      <c r="C308" s="52"/>
    </row>
    <row r="309" spans="1:3" s="703" customFormat="1" ht="19.5" customHeight="1">
      <c r="A309" s="25"/>
      <c r="B309" s="274"/>
      <c r="C309" s="25"/>
    </row>
    <row r="310" spans="1:3" s="703" customFormat="1" ht="19.5" customHeight="1">
      <c r="A310" s="25"/>
      <c r="B310" s="274"/>
      <c r="C310" s="25"/>
    </row>
    <row r="311" spans="1:3" s="703" customFormat="1" ht="19.5" customHeight="1">
      <c r="A311" s="25"/>
      <c r="B311" s="274"/>
      <c r="C311" s="25"/>
    </row>
    <row r="312" spans="1:3" s="703" customFormat="1" ht="19.5" customHeight="1">
      <c r="A312" s="131"/>
      <c r="B312" s="274"/>
      <c r="C312" s="25"/>
    </row>
    <row r="313" spans="1:3" s="703" customFormat="1" ht="19.5" customHeight="1">
      <c r="A313" s="131"/>
      <c r="B313" s="25"/>
      <c r="C313" s="25"/>
    </row>
    <row r="314" spans="1:3" s="703" customFormat="1" ht="19.5" customHeight="1">
      <c r="A314" s="131"/>
      <c r="B314" s="25"/>
      <c r="C314" s="25"/>
    </row>
    <row r="315" spans="1:3" s="703" customFormat="1" ht="19.5" customHeight="1">
      <c r="A315" s="131"/>
      <c r="B315" s="52"/>
      <c r="C315" s="52"/>
    </row>
    <row r="316" spans="1:3" s="703" customFormat="1" ht="19.5" customHeight="1">
      <c r="A316" s="131"/>
      <c r="B316" s="52"/>
      <c r="C316" s="52"/>
    </row>
    <row r="317" spans="1:3" ht="19.5" customHeight="1">
      <c r="A317" s="131"/>
      <c r="B317" s="52"/>
      <c r="C317" s="52"/>
    </row>
    <row r="318" spans="1:3" ht="19.5" customHeight="1">
      <c r="A318" s="25"/>
      <c r="B318" s="52"/>
      <c r="C318" s="52"/>
    </row>
    <row r="319" spans="1:3" ht="19.5" customHeight="1">
      <c r="A319" s="25"/>
      <c r="B319" s="52"/>
      <c r="C319" s="52"/>
    </row>
    <row r="320" spans="1:3" ht="19.5" customHeight="1">
      <c r="A320" s="25"/>
      <c r="B320" s="52"/>
      <c r="C320" s="52"/>
    </row>
    <row r="321" spans="1:3" ht="19.5" customHeight="1">
      <c r="A321" s="25"/>
      <c r="B321" s="52"/>
      <c r="C321" s="52"/>
    </row>
    <row r="322" spans="1:3" ht="19.5" customHeight="1">
      <c r="A322" s="25"/>
      <c r="B322" s="52"/>
      <c r="C322" s="52"/>
    </row>
    <row r="323" spans="1:3" ht="19.5" customHeight="1">
      <c r="A323" s="25"/>
      <c r="B323" s="52"/>
      <c r="C323" s="52"/>
    </row>
    <row r="324" spans="1:3" ht="19.5" customHeight="1">
      <c r="A324" s="52"/>
      <c r="B324" s="52"/>
      <c r="C324" s="52"/>
    </row>
    <row r="325" spans="1:3" ht="19.5" customHeight="1">
      <c r="A325" s="52"/>
      <c r="B325" s="52"/>
      <c r="C325" s="52"/>
    </row>
    <row r="326" spans="1:3" ht="19.5" customHeight="1">
      <c r="A326" s="52"/>
      <c r="B326" s="52"/>
      <c r="C326" s="52"/>
    </row>
    <row r="327" spans="1:3" ht="19.5" customHeight="1">
      <c r="A327" s="52"/>
      <c r="B327" s="52"/>
      <c r="C327" s="52"/>
    </row>
    <row r="328" spans="1:3" ht="19.5" customHeight="1">
      <c r="A328" s="52"/>
      <c r="B328" s="52"/>
      <c r="C328" s="52"/>
    </row>
    <row r="329" spans="1:3" ht="19.5" customHeight="1">
      <c r="A329" s="52"/>
      <c r="B329" s="52"/>
      <c r="C329" s="52"/>
    </row>
    <row r="330" spans="1:3" ht="19.5" customHeight="1">
      <c r="A330" s="52"/>
      <c r="B330" s="25"/>
      <c r="C330" s="52"/>
    </row>
    <row r="331" spans="1:3" ht="19.5" customHeight="1">
      <c r="A331" s="52"/>
      <c r="B331" s="25"/>
      <c r="C331" s="25"/>
    </row>
    <row r="332" spans="1:3" ht="19.5" customHeight="1">
      <c r="A332" s="52"/>
      <c r="B332" s="52"/>
      <c r="C332" s="25"/>
    </row>
    <row r="333" spans="1:3" ht="19.5" customHeight="1">
      <c r="A333" s="52"/>
      <c r="B333" s="52"/>
      <c r="C333" s="52"/>
    </row>
    <row r="334" spans="1:3" ht="19.5" customHeight="1">
      <c r="A334" s="52"/>
      <c r="B334" s="52"/>
      <c r="C334" s="52"/>
    </row>
    <row r="335" spans="1:3" ht="19.5" customHeight="1">
      <c r="A335" s="52"/>
      <c r="B335" s="25"/>
      <c r="C335" s="25"/>
    </row>
    <row r="336" spans="1:3" ht="19.5" customHeight="1">
      <c r="A336" s="52"/>
      <c r="B336" s="25"/>
      <c r="C336" s="25"/>
    </row>
    <row r="337" spans="1:3" ht="19.5" customHeight="1">
      <c r="A337" s="52"/>
      <c r="B337" s="274"/>
      <c r="C337" s="274"/>
    </row>
    <row r="338" spans="1:3" ht="19.5" customHeight="1">
      <c r="A338" s="52"/>
      <c r="B338" s="274"/>
      <c r="C338" s="274"/>
    </row>
    <row r="339" spans="1:3" ht="19.5" customHeight="1">
      <c r="A339" s="52"/>
      <c r="B339" s="25"/>
      <c r="C339" s="25"/>
    </row>
    <row r="340" spans="1:3" ht="19.5" customHeight="1">
      <c r="A340" s="52"/>
      <c r="B340" s="25"/>
      <c r="C340" s="25"/>
    </row>
    <row r="341" spans="1:3" ht="19.5" customHeight="1">
      <c r="A341" s="52"/>
      <c r="B341" s="274"/>
      <c r="C341" s="25"/>
    </row>
    <row r="342" spans="1:3" ht="19.5" customHeight="1">
      <c r="A342" s="52"/>
      <c r="B342" s="274"/>
      <c r="C342" s="25"/>
    </row>
    <row r="343" spans="1:3" ht="19.5" customHeight="1">
      <c r="A343" s="52"/>
      <c r="B343" s="274"/>
      <c r="C343" s="25"/>
    </row>
    <row r="344" spans="1:3" ht="19.5" customHeight="1">
      <c r="A344" s="52"/>
      <c r="B344" s="274"/>
      <c r="C344" s="274"/>
    </row>
    <row r="345" spans="1:3" ht="19.5" customHeight="1">
      <c r="A345" s="52"/>
      <c r="B345" s="274"/>
      <c r="C345" s="274"/>
    </row>
    <row r="346" spans="1:3" ht="19.5" customHeight="1">
      <c r="A346" s="52"/>
      <c r="B346" s="274"/>
      <c r="C346" s="274"/>
    </row>
    <row r="347" spans="1:3" ht="19.5" customHeight="1">
      <c r="A347" s="52"/>
      <c r="B347" s="52"/>
      <c r="C347" s="52"/>
    </row>
    <row r="348" spans="1:3" ht="19.5" customHeight="1">
      <c r="A348" s="131"/>
      <c r="B348" s="52"/>
      <c r="C348" s="52"/>
    </row>
    <row r="349" spans="1:3" ht="19.5" customHeight="1">
      <c r="A349" s="131"/>
      <c r="B349" s="52"/>
      <c r="C349" s="52"/>
    </row>
    <row r="350" spans="1:3" ht="19.5" customHeight="1">
      <c r="A350" s="131"/>
      <c r="B350" s="52"/>
      <c r="C350" s="52"/>
    </row>
    <row r="351" spans="1:3" ht="19.5" customHeight="1">
      <c r="A351" s="131"/>
      <c r="B351" s="52"/>
      <c r="C351" s="52"/>
    </row>
    <row r="352" spans="1:3" ht="19.5" customHeight="1">
      <c r="A352" s="131"/>
      <c r="B352" s="52"/>
      <c r="C352" s="52"/>
    </row>
    <row r="353" spans="1:3" ht="19.5" customHeight="1">
      <c r="A353" s="131"/>
      <c r="B353" s="52"/>
      <c r="C353" s="52"/>
    </row>
    <row r="354" spans="1:3" ht="19.5" customHeight="1">
      <c r="A354" s="717"/>
      <c r="B354" s="52"/>
      <c r="C354" s="52"/>
    </row>
    <row r="355" spans="1:3" ht="19.5" customHeight="1">
      <c r="A355" s="717"/>
      <c r="B355" s="52"/>
      <c r="C355" s="52"/>
    </row>
    <row r="356" spans="1:3" ht="19.5" customHeight="1">
      <c r="A356" s="717"/>
      <c r="B356" s="52"/>
      <c r="C356" s="52"/>
    </row>
    <row r="357" spans="1:3" ht="19.5" customHeight="1">
      <c r="A357" s="52"/>
      <c r="B357" s="52"/>
      <c r="C357" s="52"/>
    </row>
    <row r="358" spans="1:3" ht="19.5" customHeight="1">
      <c r="A358" s="52"/>
      <c r="B358" s="52"/>
      <c r="C358" s="52"/>
    </row>
    <row r="359" spans="1:3" ht="19.5" customHeight="1">
      <c r="A359" s="25"/>
      <c r="B359" s="52"/>
      <c r="C359" s="52"/>
    </row>
    <row r="360" spans="1:3" ht="19.5" customHeight="1">
      <c r="A360" s="25"/>
      <c r="B360" s="52"/>
      <c r="C360" s="52"/>
    </row>
    <row r="361" spans="1:3" ht="19.5" customHeight="1">
      <c r="A361" s="25"/>
      <c r="B361" s="52"/>
      <c r="C361" s="52"/>
    </row>
    <row r="362" spans="1:3" ht="19.5" customHeight="1">
      <c r="A362" s="25"/>
      <c r="B362" s="52"/>
      <c r="C362" s="52"/>
    </row>
    <row r="363" spans="1:3" ht="19.5" customHeight="1">
      <c r="A363" s="25"/>
      <c r="B363" s="52"/>
      <c r="C363" s="52"/>
    </row>
    <row r="364" spans="1:3" ht="19.5" customHeight="1">
      <c r="A364" s="25"/>
      <c r="B364" s="52"/>
      <c r="C364" s="52"/>
    </row>
    <row r="365" spans="1:3" ht="19.5" customHeight="1">
      <c r="A365" s="25"/>
      <c r="B365" s="52"/>
      <c r="C365" s="52"/>
    </row>
    <row r="366" spans="1:3" ht="19.5" customHeight="1">
      <c r="A366" s="25"/>
      <c r="B366" s="52"/>
      <c r="C366" s="52"/>
    </row>
    <row r="367" spans="1:3" ht="19.5" customHeight="1">
      <c r="A367" s="25"/>
      <c r="B367" s="52"/>
      <c r="C367" s="52"/>
    </row>
    <row r="368" spans="1:3" ht="19.5" customHeight="1">
      <c r="A368" s="25"/>
      <c r="B368" s="52"/>
      <c r="C368" s="52"/>
    </row>
    <row r="369" spans="1:3" ht="19.5" customHeight="1">
      <c r="A369" s="25"/>
      <c r="B369" s="52"/>
      <c r="C369" s="52"/>
    </row>
    <row r="370" spans="1:3" ht="19.5" customHeight="1">
      <c r="A370" s="25"/>
      <c r="B370" s="52"/>
      <c r="C370" s="52"/>
    </row>
    <row r="371" spans="1:3" ht="19.5" customHeight="1">
      <c r="A371" s="25"/>
      <c r="B371" s="274"/>
      <c r="C371" s="274"/>
    </row>
    <row r="372" spans="1:3" ht="19.5" customHeight="1">
      <c r="A372" s="25"/>
      <c r="B372" s="274"/>
      <c r="C372" s="25"/>
    </row>
    <row r="373" spans="1:3" ht="19.5" customHeight="1">
      <c r="A373" s="25"/>
      <c r="B373" s="274"/>
      <c r="C373" s="274"/>
    </row>
    <row r="374" spans="1:3" ht="19.5" customHeight="1">
      <c r="A374" s="25"/>
      <c r="B374" s="274"/>
      <c r="C374" s="274"/>
    </row>
    <row r="375" spans="1:3" ht="19.5" customHeight="1">
      <c r="A375" s="25"/>
      <c r="B375" s="274"/>
      <c r="C375" s="274"/>
    </row>
    <row r="376" spans="1:3" ht="19.5" customHeight="1">
      <c r="A376" s="25"/>
      <c r="B376" s="274"/>
      <c r="C376" s="274"/>
    </row>
    <row r="377" spans="1:3" ht="19.5" customHeight="1">
      <c r="A377" s="25"/>
      <c r="B377" s="274"/>
      <c r="C377" s="25"/>
    </row>
    <row r="378" spans="1:3" ht="19.5" customHeight="1">
      <c r="A378" s="25"/>
      <c r="B378" s="274"/>
      <c r="C378" s="25"/>
    </row>
    <row r="379" spans="1:3" ht="19.5" customHeight="1">
      <c r="A379" s="25"/>
      <c r="B379" s="274"/>
      <c r="C379" s="274"/>
    </row>
    <row r="380" spans="1:3" ht="19.5" customHeight="1">
      <c r="A380" s="25"/>
      <c r="B380" s="52"/>
      <c r="C380" s="52"/>
    </row>
    <row r="381" spans="1:3" ht="19.5" customHeight="1">
      <c r="A381" s="25"/>
      <c r="B381" s="52"/>
      <c r="C381" s="52"/>
    </row>
    <row r="382" spans="1:3" ht="19.5" customHeight="1">
      <c r="A382" s="25"/>
      <c r="B382" s="25"/>
      <c r="C382" s="25"/>
    </row>
    <row r="383" spans="1:3" ht="19.5" customHeight="1">
      <c r="A383" s="25"/>
      <c r="B383" s="25"/>
      <c r="C383" s="25"/>
    </row>
    <row r="384" spans="1:3" ht="19.5" customHeight="1">
      <c r="A384" s="25"/>
      <c r="B384" s="25"/>
      <c r="C384" s="25"/>
    </row>
    <row r="385" spans="1:3" ht="19.5" customHeight="1">
      <c r="A385" s="25"/>
      <c r="B385" s="25"/>
      <c r="C385" s="25"/>
    </row>
    <row r="386" spans="1:3" ht="19.5" customHeight="1">
      <c r="A386" s="25"/>
      <c r="B386" s="25"/>
      <c r="C386" s="25"/>
    </row>
    <row r="387" spans="1:3" ht="19.5" customHeight="1">
      <c r="A387" s="25"/>
      <c r="B387" s="25"/>
      <c r="C387" s="25"/>
    </row>
    <row r="388" spans="1:3" ht="19.5" customHeight="1">
      <c r="A388" s="25"/>
      <c r="B388" s="25"/>
      <c r="C388" s="25"/>
    </row>
    <row r="389" spans="1:3" ht="19.5" customHeight="1">
      <c r="A389" s="25"/>
      <c r="B389" s="25"/>
      <c r="C389" s="25"/>
    </row>
    <row r="390" spans="1:3" ht="19.5" customHeight="1">
      <c r="A390" s="25"/>
      <c r="B390" s="25"/>
      <c r="C390" s="25"/>
    </row>
    <row r="391" spans="1:3" ht="19.5" customHeight="1">
      <c r="A391" s="25"/>
      <c r="B391" s="25"/>
      <c r="C391" s="25"/>
    </row>
    <row r="392" spans="1:3" ht="19.5" customHeight="1">
      <c r="A392" s="25"/>
      <c r="B392" s="25"/>
      <c r="C392" s="25"/>
    </row>
    <row r="393" spans="1:3" ht="19.5" customHeight="1">
      <c r="A393" s="25"/>
      <c r="B393" s="25"/>
      <c r="C393" s="25"/>
    </row>
    <row r="394" spans="1:3" ht="19.5" customHeight="1">
      <c r="A394" s="25"/>
      <c r="B394" s="25"/>
      <c r="C394" s="25"/>
    </row>
    <row r="395" spans="1:3" ht="19.5" customHeight="1">
      <c r="A395" s="25"/>
      <c r="B395" s="25"/>
      <c r="C395" s="25"/>
    </row>
    <row r="396" spans="1:3" ht="19.5" customHeight="1">
      <c r="A396" s="25"/>
      <c r="B396" s="25"/>
      <c r="C396" s="25"/>
    </row>
    <row r="397" spans="1:3" ht="19.5" customHeight="1">
      <c r="A397" s="25"/>
      <c r="B397" s="25"/>
      <c r="C397" s="25"/>
    </row>
    <row r="398" spans="1:3" ht="19.5" customHeight="1">
      <c r="A398" s="25"/>
      <c r="B398" s="25"/>
      <c r="C398" s="25"/>
    </row>
    <row r="399" spans="1:3" ht="19.5" customHeight="1">
      <c r="A399" s="25"/>
      <c r="B399" s="25"/>
      <c r="C399" s="25"/>
    </row>
    <row r="400" spans="1:3" ht="19.5" customHeight="1">
      <c r="A400" s="25"/>
      <c r="B400" s="25"/>
      <c r="C400" s="25"/>
    </row>
    <row r="401" spans="1:3" ht="19.5" customHeight="1">
      <c r="A401" s="25"/>
      <c r="B401" s="25"/>
      <c r="C401" s="25"/>
    </row>
    <row r="402" spans="1:3" ht="19.5" customHeight="1">
      <c r="A402" s="25"/>
      <c r="B402" s="25"/>
      <c r="C402" s="25"/>
    </row>
    <row r="403" spans="1:3" ht="19.5" customHeight="1">
      <c r="A403" s="25"/>
      <c r="B403" s="25"/>
      <c r="C403" s="25"/>
    </row>
    <row r="404" spans="1:3" ht="19.5" customHeight="1">
      <c r="A404" s="25"/>
      <c r="B404" s="25"/>
      <c r="C404" s="25"/>
    </row>
    <row r="405" spans="1:3" ht="19.5" customHeight="1">
      <c r="A405" s="25"/>
      <c r="B405" s="25"/>
      <c r="C405" s="25"/>
    </row>
    <row r="406" spans="1:3" ht="19.5" customHeight="1">
      <c r="A406" s="25"/>
      <c r="B406" s="25"/>
      <c r="C406" s="25"/>
    </row>
    <row r="407" spans="1:3" ht="19.5" customHeight="1">
      <c r="A407" s="25"/>
      <c r="B407" s="25"/>
      <c r="C407" s="25"/>
    </row>
    <row r="408" spans="1:3" ht="19.5" customHeight="1">
      <c r="A408" s="25"/>
      <c r="B408" s="25"/>
      <c r="C408" s="25"/>
    </row>
    <row r="409" spans="1:3" ht="19.5" customHeight="1">
      <c r="A409" s="25"/>
      <c r="B409" s="25"/>
      <c r="C409" s="25"/>
    </row>
    <row r="410" spans="1:3" ht="19.5" customHeight="1">
      <c r="A410" s="25"/>
      <c r="B410" s="25"/>
      <c r="C410" s="25"/>
    </row>
    <row r="411" spans="1:3" ht="19.5" customHeight="1">
      <c r="A411" s="25"/>
      <c r="B411" s="25"/>
      <c r="C411" s="25"/>
    </row>
    <row r="412" spans="1:3" ht="19.5" customHeight="1">
      <c r="A412" s="25"/>
      <c r="B412" s="25"/>
      <c r="C412" s="25"/>
    </row>
    <row r="413" spans="1:3" ht="19.5" customHeight="1">
      <c r="A413" s="25"/>
      <c r="B413" s="25"/>
      <c r="C413" s="25"/>
    </row>
    <row r="414" spans="1:3" ht="19.5" customHeight="1">
      <c r="A414" s="25"/>
      <c r="B414" s="25"/>
      <c r="C414" s="25"/>
    </row>
    <row r="415" spans="1:3" ht="19.5" customHeight="1">
      <c r="A415" s="25"/>
      <c r="B415" s="25"/>
      <c r="C415" s="25"/>
    </row>
    <row r="416" spans="1:3" ht="19.5" customHeight="1">
      <c r="A416" s="25"/>
      <c r="B416" s="25"/>
      <c r="C416" s="25"/>
    </row>
    <row r="417" spans="1:3" ht="19.5" customHeight="1">
      <c r="A417" s="25"/>
      <c r="B417" s="25"/>
      <c r="C417" s="25"/>
    </row>
    <row r="418" spans="1:3" ht="19.5" customHeight="1">
      <c r="A418" s="25"/>
      <c r="B418" s="25"/>
      <c r="C418" s="25"/>
    </row>
    <row r="419" spans="1:3" ht="19.5" customHeight="1">
      <c r="A419" s="25"/>
      <c r="B419" s="25"/>
      <c r="C419" s="25"/>
    </row>
    <row r="420" spans="1:3" ht="19.5" customHeight="1">
      <c r="A420" s="25"/>
      <c r="B420" s="25"/>
      <c r="C420" s="25"/>
    </row>
    <row r="421" spans="1:3" ht="19.5" customHeight="1">
      <c r="A421" s="25"/>
      <c r="B421" s="25"/>
      <c r="C421" s="25"/>
    </row>
    <row r="422" spans="1:3" ht="19.5" customHeight="1">
      <c r="A422" s="25"/>
      <c r="B422" s="25"/>
      <c r="C422" s="25"/>
    </row>
    <row r="423" spans="1:3" ht="19.5" customHeight="1">
      <c r="A423" s="25"/>
      <c r="B423" s="25"/>
      <c r="C423" s="25"/>
    </row>
    <row r="424" spans="1:3" ht="19.5" customHeight="1">
      <c r="A424" s="25"/>
      <c r="B424" s="25"/>
      <c r="C424" s="25"/>
    </row>
    <row r="425" spans="1:3" ht="19.5" customHeight="1">
      <c r="A425" s="25"/>
      <c r="B425" s="25"/>
      <c r="C425" s="25"/>
    </row>
    <row r="426" spans="1:3" ht="19.5" customHeight="1">
      <c r="A426" s="25"/>
      <c r="B426" s="25"/>
      <c r="C426" s="25"/>
    </row>
    <row r="427" spans="1:3" ht="19.5" customHeight="1">
      <c r="A427" s="25"/>
      <c r="B427" s="25"/>
      <c r="C427" s="25"/>
    </row>
    <row r="428" spans="1:3" ht="19.5" customHeight="1">
      <c r="A428" s="25"/>
      <c r="B428" s="25"/>
      <c r="C428" s="25"/>
    </row>
    <row r="429" spans="1:3" ht="19.5" customHeight="1">
      <c r="A429" s="25"/>
      <c r="B429" s="25"/>
      <c r="C429" s="25"/>
    </row>
    <row r="430" spans="1:3" ht="19.5" customHeight="1">
      <c r="A430" s="25"/>
      <c r="B430" s="25"/>
      <c r="C430" s="25"/>
    </row>
    <row r="431" spans="1:3" ht="19.5" customHeight="1">
      <c r="A431" s="25"/>
      <c r="B431" s="25"/>
      <c r="C431" s="25"/>
    </row>
    <row r="432" spans="1:3" ht="19.5" customHeight="1">
      <c r="A432" s="25"/>
      <c r="B432" s="25"/>
      <c r="C432" s="25"/>
    </row>
    <row r="433" spans="1:3" ht="19.5" customHeight="1">
      <c r="A433" s="25"/>
      <c r="B433" s="25"/>
      <c r="C433" s="25"/>
    </row>
    <row r="434" spans="1:3" ht="19.5" customHeight="1">
      <c r="A434" s="25"/>
      <c r="B434" s="25"/>
      <c r="C434" s="25"/>
    </row>
    <row r="435" spans="1:3" ht="19.5" customHeight="1">
      <c r="A435" s="25"/>
      <c r="B435" s="25"/>
      <c r="C435" s="25"/>
    </row>
    <row r="436" spans="1:3" ht="19.5" customHeight="1">
      <c r="A436" s="25"/>
      <c r="B436" s="25"/>
      <c r="C436" s="25"/>
    </row>
    <row r="437" spans="1:3" ht="19.5" customHeight="1">
      <c r="A437" s="25"/>
      <c r="B437" s="25"/>
      <c r="C437" s="25"/>
    </row>
    <row r="438" spans="1:3" ht="19.5" customHeight="1">
      <c r="A438" s="25"/>
      <c r="B438" s="25"/>
      <c r="C438" s="25"/>
    </row>
    <row r="439" spans="1:3" ht="19.5" customHeight="1">
      <c r="A439" s="25"/>
      <c r="B439" s="25"/>
      <c r="C439" s="25"/>
    </row>
    <row r="440" spans="1:3" ht="19.5" customHeight="1">
      <c r="A440" s="25"/>
      <c r="B440" s="25"/>
      <c r="C440" s="25"/>
    </row>
    <row r="441" spans="1:3" ht="19.5" customHeight="1">
      <c r="A441" s="25"/>
      <c r="B441" s="25"/>
      <c r="C441" s="25"/>
    </row>
    <row r="442" spans="1:3" ht="19.5" customHeight="1">
      <c r="A442" s="25"/>
      <c r="B442" s="25"/>
      <c r="C442" s="25"/>
    </row>
    <row r="443" spans="1:3" ht="19.5" customHeight="1">
      <c r="A443" s="25"/>
      <c r="B443" s="25"/>
      <c r="C443" s="25"/>
    </row>
    <row r="444" spans="1:3" ht="19.5" customHeight="1">
      <c r="A444" s="25"/>
      <c r="B444" s="25"/>
      <c r="C444" s="25"/>
    </row>
    <row r="445" spans="1:3" ht="19.5" customHeight="1">
      <c r="A445" s="25"/>
      <c r="B445" s="25"/>
      <c r="C445" s="25"/>
    </row>
    <row r="446" spans="1:3" ht="19.5" customHeight="1">
      <c r="A446" s="25"/>
      <c r="B446" s="25"/>
      <c r="C446" s="25"/>
    </row>
    <row r="447" spans="1:3" ht="19.5" customHeight="1">
      <c r="A447" s="25"/>
      <c r="B447" s="25"/>
      <c r="C447" s="25"/>
    </row>
    <row r="448" spans="1:3" ht="19.5" customHeight="1">
      <c r="A448" s="25"/>
      <c r="B448" s="25"/>
      <c r="C448" s="25"/>
    </row>
    <row r="449" spans="1:3" ht="19.5" customHeight="1">
      <c r="A449" s="25"/>
      <c r="B449" s="25"/>
      <c r="C449" s="25"/>
    </row>
    <row r="450" spans="1:3" ht="19.5" customHeight="1">
      <c r="A450" s="25"/>
      <c r="B450" s="25"/>
      <c r="C450" s="25"/>
    </row>
    <row r="451" spans="1:3" ht="19.5" customHeight="1">
      <c r="A451" s="25"/>
      <c r="B451" s="25"/>
      <c r="C451" s="25"/>
    </row>
    <row r="452" spans="1:3" ht="19.5" customHeight="1">
      <c r="A452" s="25"/>
      <c r="B452" s="25"/>
      <c r="C452" s="25"/>
    </row>
    <row r="453" spans="1:3" ht="19.5" customHeight="1">
      <c r="A453" s="25"/>
      <c r="B453" s="25"/>
      <c r="C453" s="25"/>
    </row>
    <row r="454" spans="1:3" ht="19.5" customHeight="1">
      <c r="A454" s="25"/>
      <c r="B454" s="25"/>
      <c r="C454" s="25"/>
    </row>
    <row r="455" spans="1:3" ht="19.5" customHeight="1">
      <c r="A455" s="25"/>
      <c r="B455" s="25"/>
      <c r="C455" s="25"/>
    </row>
    <row r="456" spans="1:3" ht="19.5" customHeight="1">
      <c r="A456" s="25"/>
      <c r="B456" s="25"/>
      <c r="C456" s="25"/>
    </row>
    <row r="457" spans="1:3" ht="19.5" customHeight="1">
      <c r="A457" s="25"/>
      <c r="B457" s="25"/>
      <c r="C457" s="25"/>
    </row>
    <row r="458" spans="1:3" ht="19.5" customHeight="1">
      <c r="A458" s="25"/>
      <c r="B458" s="25"/>
      <c r="C458" s="703"/>
    </row>
    <row r="459" spans="1:3" ht="19.5" customHeight="1">
      <c r="A459" s="25"/>
      <c r="B459" s="25"/>
      <c r="C459" s="703"/>
    </row>
    <row r="460" spans="1:3" ht="19.5" customHeight="1">
      <c r="A460" s="25"/>
      <c r="B460" s="25"/>
      <c r="C460" s="703"/>
    </row>
    <row r="461" spans="1:3" ht="19.5" customHeight="1">
      <c r="A461" s="25"/>
      <c r="B461" s="25"/>
      <c r="C461" s="703"/>
    </row>
    <row r="462" spans="1:3" ht="19.5" customHeight="1">
      <c r="A462" s="25"/>
      <c r="B462" s="25"/>
      <c r="C462" s="703"/>
    </row>
    <row r="463" spans="1:3" ht="19.5" customHeight="1">
      <c r="A463" s="25"/>
      <c r="B463" s="25"/>
      <c r="C463" s="703"/>
    </row>
    <row r="464" spans="1:3" ht="19.5" customHeight="1">
      <c r="A464" s="25"/>
      <c r="B464" s="25"/>
      <c r="C464" s="703"/>
    </row>
    <row r="465" spans="1:3" ht="19.5" customHeight="1">
      <c r="A465" s="25"/>
      <c r="B465" s="25"/>
      <c r="C465" s="703"/>
    </row>
    <row r="466" spans="1:3" ht="19.5" customHeight="1">
      <c r="A466" s="25"/>
      <c r="B466" s="25"/>
      <c r="C466" s="703"/>
    </row>
    <row r="467" spans="1:3" ht="19.5" customHeight="1">
      <c r="A467" s="25"/>
      <c r="B467" s="25"/>
      <c r="C467" s="703"/>
    </row>
    <row r="468" spans="1:3" ht="19.5" customHeight="1">
      <c r="A468" s="25"/>
      <c r="B468" s="25"/>
      <c r="C468" s="703"/>
    </row>
    <row r="469" spans="2:3" ht="19.5" customHeight="1">
      <c r="B469" s="25"/>
      <c r="C469" s="703"/>
    </row>
    <row r="470" spans="2:3" ht="19.5" customHeight="1">
      <c r="B470" s="25"/>
      <c r="C470" s="703"/>
    </row>
    <row r="471" spans="2:3" ht="19.5" customHeight="1">
      <c r="B471" s="25"/>
      <c r="C471" s="703"/>
    </row>
    <row r="472" spans="2:3" ht="19.5" customHeight="1">
      <c r="B472" s="25"/>
      <c r="C472" s="703"/>
    </row>
    <row r="473" spans="2:3" ht="19.5" customHeight="1">
      <c r="B473" s="25"/>
      <c r="C473" s="703"/>
    </row>
    <row r="474" spans="2:3" ht="19.5" customHeight="1">
      <c r="B474" s="25"/>
      <c r="C474" s="703"/>
    </row>
    <row r="475" spans="2:3" ht="19.5" customHeight="1">
      <c r="B475" s="25"/>
      <c r="C475" s="703"/>
    </row>
    <row r="476" spans="2:3" ht="19.5" customHeight="1">
      <c r="B476" s="25"/>
      <c r="C476" s="703"/>
    </row>
    <row r="477" spans="2:3" ht="19.5" customHeight="1">
      <c r="B477" s="25"/>
      <c r="C477" s="703"/>
    </row>
    <row r="478" spans="2:3" ht="19.5" customHeight="1">
      <c r="B478" s="25"/>
      <c r="C478" s="703"/>
    </row>
    <row r="479" spans="2:3" ht="19.5" customHeight="1">
      <c r="B479" s="25"/>
      <c r="C479" s="703"/>
    </row>
    <row r="480" spans="2:3" ht="19.5" customHeight="1">
      <c r="B480" s="25"/>
      <c r="C480" s="703"/>
    </row>
    <row r="481" spans="2:3" ht="19.5" customHeight="1">
      <c r="B481" s="25"/>
      <c r="C481" s="703"/>
    </row>
    <row r="482" spans="2:3" ht="19.5" customHeight="1">
      <c r="B482" s="703"/>
      <c r="C482" s="703"/>
    </row>
    <row r="483" spans="2:3" ht="19.5" customHeight="1">
      <c r="B483" s="703"/>
      <c r="C483" s="703"/>
    </row>
    <row r="484" spans="2:3" ht="19.5" customHeight="1">
      <c r="B484" s="703"/>
      <c r="C484" s="703"/>
    </row>
    <row r="485" spans="2:3" ht="19.5" customHeight="1">
      <c r="B485" s="703"/>
      <c r="C485" s="703"/>
    </row>
    <row r="486" spans="2:3" ht="19.5" customHeight="1">
      <c r="B486" s="703"/>
      <c r="C486" s="703"/>
    </row>
    <row r="487" spans="2:3" ht="19.5" customHeight="1">
      <c r="B487" s="703"/>
      <c r="C487" s="703"/>
    </row>
    <row r="488" spans="2:3" ht="19.5" customHeight="1">
      <c r="B488" s="703"/>
      <c r="C488" s="703"/>
    </row>
    <row r="489" spans="2:3" ht="19.5" customHeight="1">
      <c r="B489" s="703"/>
      <c r="C489" s="703"/>
    </row>
    <row r="490" spans="2:3" ht="19.5" customHeight="1">
      <c r="B490" s="703"/>
      <c r="C490" s="703"/>
    </row>
    <row r="491" spans="2:3" ht="19.5" customHeight="1">
      <c r="B491" s="703"/>
      <c r="C491" s="703"/>
    </row>
  </sheetData>
  <sheetProtection/>
  <mergeCells count="47">
    <mergeCell ref="A139:D139"/>
    <mergeCell ref="A140:A142"/>
    <mergeCell ref="B140:B142"/>
    <mergeCell ref="C140:C142"/>
    <mergeCell ref="D140:D142"/>
    <mergeCell ref="A153:A155"/>
    <mergeCell ref="B153:B155"/>
    <mergeCell ref="C153:C155"/>
    <mergeCell ref="D153:D155"/>
    <mergeCell ref="A110:D110"/>
    <mergeCell ref="A111:A113"/>
    <mergeCell ref="B111:B113"/>
    <mergeCell ref="C111:C113"/>
    <mergeCell ref="D111:D113"/>
    <mergeCell ref="A127:A129"/>
    <mergeCell ref="B127:B129"/>
    <mergeCell ref="C127:C129"/>
    <mergeCell ref="D127:D129"/>
    <mergeCell ref="A84:A86"/>
    <mergeCell ref="B84:B86"/>
    <mergeCell ref="C84:C86"/>
    <mergeCell ref="D84:D86"/>
    <mergeCell ref="A101:A103"/>
    <mergeCell ref="B101:B103"/>
    <mergeCell ref="C101:C103"/>
    <mergeCell ref="D101:D103"/>
    <mergeCell ref="A35:A37"/>
    <mergeCell ref="B35:B37"/>
    <mergeCell ref="C35:C37"/>
    <mergeCell ref="D35:D37"/>
    <mergeCell ref="E46:F46"/>
    <mergeCell ref="A83:D83"/>
    <mergeCell ref="A1:D1"/>
    <mergeCell ref="A2:C2"/>
    <mergeCell ref="A3:D3"/>
    <mergeCell ref="A4:A6"/>
    <mergeCell ref="B4:B6"/>
    <mergeCell ref="C4:C6"/>
    <mergeCell ref="D4:D6"/>
    <mergeCell ref="E140:E142"/>
    <mergeCell ref="E153:E155"/>
    <mergeCell ref="E4:E6"/>
    <mergeCell ref="E35:E37"/>
    <mergeCell ref="E84:E86"/>
    <mergeCell ref="E101:E103"/>
    <mergeCell ref="E111:E113"/>
    <mergeCell ref="E127:E1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09"/>
  <sheetViews>
    <sheetView zoomScalePageLayoutView="0" workbookViewId="0" topLeftCell="A34">
      <selection activeCell="A2" sqref="A2:C2"/>
    </sheetView>
  </sheetViews>
  <sheetFormatPr defaultColWidth="9.00390625" defaultRowHeight="12.75"/>
  <cols>
    <col min="1" max="1" width="4.375" style="124" customWidth="1"/>
    <col min="2" max="2" width="44.00390625" style="0" customWidth="1"/>
    <col min="3" max="4" width="12.875" style="0" hidden="1" customWidth="1"/>
    <col min="5" max="6" width="12.125" style="0" hidden="1" customWidth="1"/>
    <col min="7" max="8" width="12.00390625" style="382" hidden="1" customWidth="1"/>
    <col min="9" max="9" width="13.00390625" style="382" hidden="1" customWidth="1"/>
    <col min="10" max="10" width="12.875" style="777" customWidth="1"/>
    <col min="11" max="13" width="12.875" style="778" customWidth="1"/>
    <col min="14" max="15" width="9.125" style="0" hidden="1" customWidth="1"/>
    <col min="16" max="16" width="16.625" style="124" customWidth="1"/>
    <col min="17" max="17" width="9.50390625" style="0" customWidth="1"/>
    <col min="18" max="18" width="10.625" style="0" customWidth="1"/>
    <col min="19" max="19" width="9.125" style="500" customWidth="1"/>
  </cols>
  <sheetData>
    <row r="1" spans="2:16" ht="20.25">
      <c r="B1" s="647" t="s">
        <v>433</v>
      </c>
      <c r="C1" s="647"/>
      <c r="D1" s="647"/>
      <c r="E1" s="647"/>
      <c r="F1" s="647"/>
      <c r="G1" s="647"/>
      <c r="H1" s="647"/>
      <c r="I1" s="647"/>
      <c r="J1" s="750"/>
      <c r="K1" s="750"/>
      <c r="L1" s="750"/>
      <c r="M1" s="750"/>
      <c r="N1" s="647"/>
      <c r="O1" s="647"/>
      <c r="P1" s="648"/>
    </row>
    <row r="2" spans="2:18" ht="20.25">
      <c r="B2" s="873" t="s">
        <v>6</v>
      </c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R2" t="s">
        <v>173</v>
      </c>
    </row>
    <row r="3" spans="1:19" s="10" customFormat="1" ht="5.25" customHeight="1">
      <c r="A3" s="347"/>
      <c r="B3" s="8"/>
      <c r="C3" s="9"/>
      <c r="D3" s="9"/>
      <c r="E3" s="9"/>
      <c r="F3" s="9"/>
      <c r="G3" s="348"/>
      <c r="H3" s="348"/>
      <c r="I3" s="348"/>
      <c r="J3" s="751"/>
      <c r="K3" s="752"/>
      <c r="L3" s="753"/>
      <c r="M3" s="752"/>
      <c r="N3" s="1"/>
      <c r="O3" s="41"/>
      <c r="P3" s="347"/>
      <c r="S3" s="513"/>
    </row>
    <row r="4" spans="1:23" s="10" customFormat="1" ht="11.25" customHeight="1" thickBot="1">
      <c r="A4" s="347"/>
      <c r="B4" s="8"/>
      <c r="C4" s="9"/>
      <c r="D4" s="9"/>
      <c r="E4" s="9"/>
      <c r="F4" s="9"/>
      <c r="G4" s="348"/>
      <c r="H4" s="348"/>
      <c r="I4" s="348"/>
      <c r="J4" s="751"/>
      <c r="K4" s="752"/>
      <c r="L4" s="753"/>
      <c r="M4" s="752"/>
      <c r="N4" s="1"/>
      <c r="O4" s="41"/>
      <c r="P4" s="347"/>
      <c r="Q4" s="131"/>
      <c r="R4" s="131"/>
      <c r="S4" s="502"/>
      <c r="T4" s="29"/>
      <c r="U4" s="29"/>
      <c r="V4" s="29"/>
      <c r="W4" s="29"/>
    </row>
    <row r="5" spans="2:23" ht="27.75">
      <c r="B5" s="89" t="s">
        <v>7</v>
      </c>
      <c r="C5" s="93" t="s">
        <v>299</v>
      </c>
      <c r="D5" s="350" t="s">
        <v>137</v>
      </c>
      <c r="E5" s="93" t="s">
        <v>299</v>
      </c>
      <c r="F5" s="350" t="s">
        <v>137</v>
      </c>
      <c r="G5" s="93" t="s">
        <v>299</v>
      </c>
      <c r="H5" s="350" t="s">
        <v>338</v>
      </c>
      <c r="I5" s="350" t="s">
        <v>338</v>
      </c>
      <c r="J5" s="749" t="s">
        <v>411</v>
      </c>
      <c r="K5" s="749" t="s">
        <v>412</v>
      </c>
      <c r="L5" s="794" t="s">
        <v>414</v>
      </c>
      <c r="M5" s="181" t="s">
        <v>415</v>
      </c>
      <c r="N5" s="416"/>
      <c r="O5" s="417"/>
      <c r="P5" s="351" t="s">
        <v>136</v>
      </c>
      <c r="Q5" s="131"/>
      <c r="R5" s="25"/>
      <c r="S5" s="57"/>
      <c r="T5" s="29"/>
      <c r="U5" s="29"/>
      <c r="V5" s="29"/>
      <c r="W5" s="29"/>
    </row>
    <row r="6" spans="2:23" ht="15.75" thickBot="1">
      <c r="B6" s="369"/>
      <c r="C6" s="539">
        <v>2015</v>
      </c>
      <c r="D6" s="353">
        <v>2015</v>
      </c>
      <c r="E6" s="540">
        <v>2016</v>
      </c>
      <c r="F6" s="540">
        <v>2016</v>
      </c>
      <c r="G6" s="353">
        <v>2017</v>
      </c>
      <c r="H6" s="418" t="s">
        <v>339</v>
      </c>
      <c r="I6" s="418" t="s">
        <v>359</v>
      </c>
      <c r="J6" s="395" t="s">
        <v>300</v>
      </c>
      <c r="K6" s="395" t="s">
        <v>300</v>
      </c>
      <c r="L6" s="795" t="s">
        <v>413</v>
      </c>
      <c r="M6" s="182"/>
      <c r="N6" s="420"/>
      <c r="O6" s="421"/>
      <c r="P6" s="355"/>
      <c r="Q6" s="29"/>
      <c r="R6" s="29"/>
      <c r="S6" s="134"/>
      <c r="T6" s="29"/>
      <c r="U6" s="29"/>
      <c r="V6" s="29"/>
      <c r="W6" s="29"/>
    </row>
    <row r="7" spans="1:23" s="2" customFormat="1" ht="12.75" customHeight="1">
      <c r="A7" s="124"/>
      <c r="B7" s="532" t="s">
        <v>307</v>
      </c>
      <c r="C7" s="426">
        <v>1200000</v>
      </c>
      <c r="D7" s="411">
        <v>180273</v>
      </c>
      <c r="E7" s="410">
        <v>203000</v>
      </c>
      <c r="F7" s="410">
        <v>182957</v>
      </c>
      <c r="G7" s="411">
        <v>200000</v>
      </c>
      <c r="H7" s="411">
        <v>79385</v>
      </c>
      <c r="I7" s="411">
        <v>94379</v>
      </c>
      <c r="J7" s="754">
        <v>204000</v>
      </c>
      <c r="K7" s="754">
        <v>204000</v>
      </c>
      <c r="L7" s="754">
        <v>49086</v>
      </c>
      <c r="M7" s="800">
        <f>L7/K7</f>
        <v>0.24061764705882352</v>
      </c>
      <c r="N7" s="65"/>
      <c r="O7" s="69"/>
      <c r="P7" s="633"/>
      <c r="Q7" s="57"/>
      <c r="R7" s="57"/>
      <c r="S7" s="57"/>
      <c r="T7" s="70"/>
      <c r="U7" s="70"/>
      <c r="V7" s="70"/>
      <c r="W7" s="70"/>
    </row>
    <row r="8" spans="1:23" s="2" customFormat="1" ht="12.75" customHeight="1">
      <c r="A8" s="124"/>
      <c r="B8" s="533" t="s">
        <v>305</v>
      </c>
      <c r="C8" s="427"/>
      <c r="D8" s="398">
        <v>108606</v>
      </c>
      <c r="E8" s="397">
        <v>77000</v>
      </c>
      <c r="F8" s="397">
        <v>70712</v>
      </c>
      <c r="G8" s="398">
        <v>90000</v>
      </c>
      <c r="H8" s="398">
        <v>34564</v>
      </c>
      <c r="I8" s="398">
        <v>45710</v>
      </c>
      <c r="J8" s="755">
        <v>91800</v>
      </c>
      <c r="K8" s="755">
        <v>91800</v>
      </c>
      <c r="L8" s="755">
        <v>22639</v>
      </c>
      <c r="M8" s="801">
        <f>L8/K8</f>
        <v>0.24661220043572984</v>
      </c>
      <c r="N8" s="65"/>
      <c r="O8" s="69"/>
      <c r="P8" s="634"/>
      <c r="Q8" s="57"/>
      <c r="R8" s="57"/>
      <c r="S8" s="57"/>
      <c r="T8" s="70"/>
      <c r="U8" s="70"/>
      <c r="V8" s="70"/>
      <c r="W8" s="70"/>
    </row>
    <row r="9" spans="1:23" s="2" customFormat="1" ht="12.75" customHeight="1">
      <c r="A9" s="124"/>
      <c r="B9" s="533" t="s">
        <v>306</v>
      </c>
      <c r="C9" s="428"/>
      <c r="D9" s="423">
        <v>850526</v>
      </c>
      <c r="E9" s="422">
        <v>920000</v>
      </c>
      <c r="F9" s="422">
        <v>958122</v>
      </c>
      <c r="G9" s="423">
        <v>1000000</v>
      </c>
      <c r="H9" s="423">
        <v>631118</v>
      </c>
      <c r="I9" s="423">
        <v>638962</v>
      </c>
      <c r="J9" s="756">
        <v>1020000</v>
      </c>
      <c r="K9" s="756">
        <v>1020000</v>
      </c>
      <c r="L9" s="756">
        <v>548004</v>
      </c>
      <c r="M9" s="802">
        <f aca="true" t="shared" si="0" ref="M9:M59">L9/K9</f>
        <v>0.5372588235294118</v>
      </c>
      <c r="N9" s="803"/>
      <c r="O9" s="804"/>
      <c r="P9" s="805"/>
      <c r="Q9" s="57"/>
      <c r="R9" s="57"/>
      <c r="S9" s="57"/>
      <c r="T9" s="70"/>
      <c r="U9" s="70"/>
      <c r="V9" s="70"/>
      <c r="W9" s="70"/>
    </row>
    <row r="10" spans="1:23" s="2" customFormat="1" ht="12.75" customHeight="1">
      <c r="A10" s="124"/>
      <c r="B10" s="534" t="s">
        <v>1</v>
      </c>
      <c r="C10" s="426">
        <v>50000</v>
      </c>
      <c r="D10" s="411">
        <v>7811</v>
      </c>
      <c r="E10" s="410">
        <f>C10</f>
        <v>50000</v>
      </c>
      <c r="F10" s="410">
        <v>12631</v>
      </c>
      <c r="G10" s="411">
        <v>50000</v>
      </c>
      <c r="H10" s="411">
        <v>25991</v>
      </c>
      <c r="I10" s="412">
        <v>25991</v>
      </c>
      <c r="J10" s="754">
        <v>50000</v>
      </c>
      <c r="K10" s="754">
        <v>50000</v>
      </c>
      <c r="L10" s="754">
        <v>9288</v>
      </c>
      <c r="M10" s="800">
        <f t="shared" si="0"/>
        <v>0.18576</v>
      </c>
      <c r="N10" s="65"/>
      <c r="O10" s="69"/>
      <c r="P10" s="414"/>
      <c r="Q10" s="57"/>
      <c r="R10" s="57"/>
      <c r="S10" s="57"/>
      <c r="T10" s="70"/>
      <c r="U10" s="70"/>
      <c r="V10" s="70"/>
      <c r="W10" s="70"/>
    </row>
    <row r="11" spans="1:23" s="2" customFormat="1" ht="12.75" customHeight="1">
      <c r="A11" s="124"/>
      <c r="B11" s="527" t="s">
        <v>8</v>
      </c>
      <c r="C11" s="427">
        <v>395000</v>
      </c>
      <c r="D11" s="398">
        <v>357616</v>
      </c>
      <c r="E11" s="397">
        <f>C11</f>
        <v>395000</v>
      </c>
      <c r="F11" s="397">
        <v>443970</v>
      </c>
      <c r="G11" s="398">
        <v>403000</v>
      </c>
      <c r="H11" s="398">
        <v>84691</v>
      </c>
      <c r="I11" s="399">
        <v>107724</v>
      </c>
      <c r="J11" s="757">
        <v>410000</v>
      </c>
      <c r="K11" s="757">
        <v>410000</v>
      </c>
      <c r="L11" s="757">
        <v>102637</v>
      </c>
      <c r="M11" s="801">
        <f t="shared" si="0"/>
        <v>0.2503341463414634</v>
      </c>
      <c r="N11" s="65"/>
      <c r="O11" s="69"/>
      <c r="P11" s="357"/>
      <c r="Q11" s="57"/>
      <c r="R11" s="57"/>
      <c r="S11" s="57"/>
      <c r="T11" s="70"/>
      <c r="U11" s="70"/>
      <c r="V11" s="70"/>
      <c r="W11" s="70"/>
    </row>
    <row r="12" spans="1:23" s="2" customFormat="1" ht="12.75" customHeight="1">
      <c r="A12" s="124"/>
      <c r="B12" s="527" t="s">
        <v>18</v>
      </c>
      <c r="C12" s="427">
        <v>3300000</v>
      </c>
      <c r="D12" s="398">
        <f>3456317-D22</f>
        <v>3419317</v>
      </c>
      <c r="E12" s="397">
        <v>3074132</v>
      </c>
      <c r="F12" s="397">
        <v>2755358</v>
      </c>
      <c r="G12" s="398">
        <v>1870000</v>
      </c>
      <c r="H12" s="398">
        <v>1242344</v>
      </c>
      <c r="I12" s="399">
        <v>1381095</v>
      </c>
      <c r="J12" s="757">
        <v>1907000</v>
      </c>
      <c r="K12" s="757">
        <v>1907000</v>
      </c>
      <c r="L12" s="757">
        <f>1237154-L16-L20-L21-L23-L24-L25-L27-L28-L29-L31-L34-L35-L37-L36-L38-L40-L42-L43-L47-L48-L55-L56</f>
        <v>846252</v>
      </c>
      <c r="M12" s="801">
        <f t="shared" si="0"/>
        <v>0.44376088096486627</v>
      </c>
      <c r="N12" s="65"/>
      <c r="O12" s="69"/>
      <c r="P12" s="357"/>
      <c r="Q12" s="57"/>
      <c r="R12" s="57"/>
      <c r="S12" s="57"/>
      <c r="T12" s="70"/>
      <c r="U12" s="70"/>
      <c r="V12" s="70"/>
      <c r="W12" s="70"/>
    </row>
    <row r="13" spans="1:23" s="2" customFormat="1" ht="12.75" customHeight="1">
      <c r="A13" s="124"/>
      <c r="B13" s="527" t="s">
        <v>9</v>
      </c>
      <c r="C13" s="427">
        <v>230000</v>
      </c>
      <c r="D13" s="398">
        <v>318</v>
      </c>
      <c r="E13" s="397">
        <f>C13</f>
        <v>230000</v>
      </c>
      <c r="F13" s="397">
        <v>383291</v>
      </c>
      <c r="G13" s="398">
        <v>1040000</v>
      </c>
      <c r="H13" s="398">
        <v>433287</v>
      </c>
      <c r="I13" s="399">
        <v>568683</v>
      </c>
      <c r="J13" s="757">
        <v>1190000</v>
      </c>
      <c r="K13" s="757">
        <v>1190000</v>
      </c>
      <c r="L13" s="757">
        <v>278325</v>
      </c>
      <c r="M13" s="801">
        <f t="shared" si="0"/>
        <v>0.23388655462184874</v>
      </c>
      <c r="N13" s="65"/>
      <c r="O13" s="69"/>
      <c r="P13" s="357"/>
      <c r="Q13" s="57"/>
      <c r="R13" s="57"/>
      <c r="S13" s="57"/>
      <c r="T13" s="70"/>
      <c r="U13" s="70"/>
      <c r="V13" s="70"/>
      <c r="W13" s="70"/>
    </row>
    <row r="14" spans="1:23" s="2" customFormat="1" ht="12.75" customHeight="1" hidden="1">
      <c r="A14" s="124"/>
      <c r="B14" s="636" t="s">
        <v>345</v>
      </c>
      <c r="C14" s="635"/>
      <c r="D14" s="403"/>
      <c r="E14" s="402"/>
      <c r="F14" s="402"/>
      <c r="G14" s="403"/>
      <c r="H14" s="403"/>
      <c r="I14" s="637"/>
      <c r="J14" s="758"/>
      <c r="K14" s="758"/>
      <c r="L14" s="758"/>
      <c r="M14" s="801" t="e">
        <f t="shared" si="0"/>
        <v>#DIV/0!</v>
      </c>
      <c r="N14" s="65"/>
      <c r="O14" s="69"/>
      <c r="P14" s="357"/>
      <c r="Q14" s="57"/>
      <c r="R14" s="57"/>
      <c r="S14" s="57"/>
      <c r="T14" s="70"/>
      <c r="U14" s="70"/>
      <c r="V14" s="70"/>
      <c r="W14" s="70"/>
    </row>
    <row r="15" spans="1:23" s="2" customFormat="1" ht="12.75" customHeight="1">
      <c r="A15" s="124"/>
      <c r="B15" s="545" t="s">
        <v>10</v>
      </c>
      <c r="C15" s="546">
        <v>3950254</v>
      </c>
      <c r="D15" s="547">
        <v>3339761</v>
      </c>
      <c r="E15" s="548">
        <v>4010430</v>
      </c>
      <c r="F15" s="548">
        <v>3952290</v>
      </c>
      <c r="G15" s="547">
        <v>4615045</v>
      </c>
      <c r="H15" s="547">
        <v>1683327</v>
      </c>
      <c r="I15" s="547">
        <v>2064587</v>
      </c>
      <c r="J15" s="759">
        <v>5470439</v>
      </c>
      <c r="K15" s="759">
        <v>5470439</v>
      </c>
      <c r="L15" s="759">
        <v>1142636</v>
      </c>
      <c r="M15" s="821">
        <f t="shared" si="0"/>
        <v>0.20887464424701563</v>
      </c>
      <c r="N15" s="81"/>
      <c r="O15" s="69"/>
      <c r="P15" s="357"/>
      <c r="Q15" s="124" t="s">
        <v>174</v>
      </c>
      <c r="R15" s="57"/>
      <c r="S15" s="514" t="s">
        <v>291</v>
      </c>
      <c r="T15" s="70"/>
      <c r="U15" s="70"/>
      <c r="V15" s="70"/>
      <c r="W15" s="70"/>
    </row>
    <row r="16" spans="1:23" s="2" customFormat="1" ht="12.75" customHeight="1">
      <c r="A16" s="124">
        <v>1601</v>
      </c>
      <c r="B16" s="518" t="s">
        <v>349</v>
      </c>
      <c r="C16" s="427">
        <v>950000</v>
      </c>
      <c r="D16" s="398">
        <v>1299917</v>
      </c>
      <c r="E16" s="404">
        <f>C16</f>
        <v>950000</v>
      </c>
      <c r="F16" s="404">
        <v>895685</v>
      </c>
      <c r="G16" s="398">
        <v>1004000</v>
      </c>
      <c r="H16" s="398">
        <v>51774</v>
      </c>
      <c r="I16" s="398">
        <v>53951</v>
      </c>
      <c r="J16" s="757">
        <v>1304500</v>
      </c>
      <c r="K16" s="757">
        <v>1304500</v>
      </c>
      <c r="L16" s="757">
        <v>88063</v>
      </c>
      <c r="M16" s="801">
        <f t="shared" si="0"/>
        <v>0.06750709083940207</v>
      </c>
      <c r="N16" s="65"/>
      <c r="O16" s="69"/>
      <c r="P16" s="357"/>
      <c r="Q16" s="57">
        <f>J16</f>
        <v>1304500</v>
      </c>
      <c r="R16" s="348"/>
      <c r="S16" s="57">
        <f>52500+12000</f>
        <v>64500</v>
      </c>
      <c r="T16" s="70"/>
      <c r="U16" s="70"/>
      <c r="V16" s="70"/>
      <c r="W16" s="70"/>
    </row>
    <row r="17" spans="1:23" s="2" customFormat="1" ht="12.75" customHeight="1" hidden="1">
      <c r="A17" s="124"/>
      <c r="B17" s="535" t="s">
        <v>310</v>
      </c>
      <c r="C17" s="429"/>
      <c r="D17" s="406"/>
      <c r="E17" s="405">
        <v>130000</v>
      </c>
      <c r="F17" s="405">
        <v>130000</v>
      </c>
      <c r="G17" s="406"/>
      <c r="H17" s="406"/>
      <c r="I17" s="406"/>
      <c r="J17" s="757"/>
      <c r="K17" s="757"/>
      <c r="L17" s="757"/>
      <c r="M17" s="801" t="e">
        <f t="shared" si="0"/>
        <v>#DIV/0!</v>
      </c>
      <c r="N17" s="65"/>
      <c r="O17" s="69"/>
      <c r="P17" s="357"/>
      <c r="Q17" s="57"/>
      <c r="R17" s="348"/>
      <c r="S17" s="57"/>
      <c r="T17" s="70"/>
      <c r="U17" s="70"/>
      <c r="V17" s="70"/>
      <c r="W17" s="70"/>
    </row>
    <row r="18" spans="1:23" s="2" customFormat="1" ht="12.75" customHeight="1" hidden="1">
      <c r="A18" s="124"/>
      <c r="B18" s="535" t="s">
        <v>309</v>
      </c>
      <c r="C18" s="429"/>
      <c r="D18" s="406"/>
      <c r="E18" s="405">
        <v>30000</v>
      </c>
      <c r="F18" s="405">
        <v>30000</v>
      </c>
      <c r="G18" s="406">
        <v>50000</v>
      </c>
      <c r="H18" s="406"/>
      <c r="I18" s="406"/>
      <c r="J18" s="757"/>
      <c r="K18" s="757"/>
      <c r="L18" s="757"/>
      <c r="M18" s="801" t="e">
        <f t="shared" si="0"/>
        <v>#DIV/0!</v>
      </c>
      <c r="N18" s="65"/>
      <c r="O18" s="69"/>
      <c r="P18" s="357"/>
      <c r="Q18" s="57"/>
      <c r="R18" s="348"/>
      <c r="S18" s="57"/>
      <c r="T18" s="70"/>
      <c r="U18" s="70"/>
      <c r="V18" s="70"/>
      <c r="W18" s="70"/>
    </row>
    <row r="19" spans="1:23" s="2" customFormat="1" ht="12.75" customHeight="1" hidden="1">
      <c r="A19" s="124"/>
      <c r="B19" s="535" t="s">
        <v>337</v>
      </c>
      <c r="C19" s="429"/>
      <c r="D19" s="406"/>
      <c r="E19" s="405"/>
      <c r="F19" s="405"/>
      <c r="G19" s="406">
        <v>50000</v>
      </c>
      <c r="H19" s="406">
        <v>8815</v>
      </c>
      <c r="I19" s="406">
        <v>8815</v>
      </c>
      <c r="J19" s="757"/>
      <c r="K19" s="757"/>
      <c r="L19" s="757"/>
      <c r="M19" s="801" t="e">
        <f t="shared" si="0"/>
        <v>#DIV/0!</v>
      </c>
      <c r="N19" s="65"/>
      <c r="O19" s="69"/>
      <c r="P19" s="357"/>
      <c r="Q19" s="57">
        <f>J19</f>
        <v>0</v>
      </c>
      <c r="R19" s="348"/>
      <c r="S19" s="57"/>
      <c r="T19" s="70"/>
      <c r="U19" s="70"/>
      <c r="V19" s="70"/>
      <c r="W19" s="70"/>
    </row>
    <row r="20" spans="1:23" s="2" customFormat="1" ht="12.75" customHeight="1">
      <c r="A20" s="124">
        <v>1902</v>
      </c>
      <c r="B20" s="518" t="s">
        <v>139</v>
      </c>
      <c r="C20" s="427">
        <v>100000</v>
      </c>
      <c r="D20" s="398">
        <v>2815</v>
      </c>
      <c r="E20" s="404">
        <f>C20</f>
        <v>100000</v>
      </c>
      <c r="F20" s="404">
        <v>36664</v>
      </c>
      <c r="G20" s="398">
        <v>50000</v>
      </c>
      <c r="H20" s="398">
        <v>21502</v>
      </c>
      <c r="I20" s="398">
        <v>23173</v>
      </c>
      <c r="J20" s="757">
        <v>50000</v>
      </c>
      <c r="K20" s="757">
        <v>50000</v>
      </c>
      <c r="L20" s="757">
        <v>1800</v>
      </c>
      <c r="M20" s="801">
        <f t="shared" si="0"/>
        <v>0.036</v>
      </c>
      <c r="N20" s="65"/>
      <c r="O20" s="69"/>
      <c r="P20" s="357"/>
      <c r="Q20" s="57">
        <f>J20</f>
        <v>50000</v>
      </c>
      <c r="R20" s="348"/>
      <c r="S20" s="57"/>
      <c r="T20" s="70"/>
      <c r="U20" s="70"/>
      <c r="V20" s="70"/>
      <c r="W20" s="70"/>
    </row>
    <row r="21" spans="1:23" s="2" customFormat="1" ht="12.75" customHeight="1">
      <c r="A21" s="124">
        <v>1306</v>
      </c>
      <c r="B21" s="830" t="s">
        <v>69</v>
      </c>
      <c r="C21" s="430">
        <v>30000</v>
      </c>
      <c r="D21" s="398">
        <v>40346</v>
      </c>
      <c r="E21" s="404">
        <f>C21</f>
        <v>30000</v>
      </c>
      <c r="F21" s="404">
        <v>45600</v>
      </c>
      <c r="G21" s="398">
        <v>42000</v>
      </c>
      <c r="H21" s="398"/>
      <c r="I21" s="398"/>
      <c r="J21" s="757">
        <v>50000</v>
      </c>
      <c r="K21" s="757">
        <v>50000</v>
      </c>
      <c r="L21" s="757">
        <v>0</v>
      </c>
      <c r="M21" s="801">
        <f t="shared" si="0"/>
        <v>0</v>
      </c>
      <c r="N21" s="65"/>
      <c r="O21" s="69"/>
      <c r="P21" s="357"/>
      <c r="Q21" s="57">
        <f>J21</f>
        <v>50000</v>
      </c>
      <c r="R21" s="348"/>
      <c r="S21" s="57"/>
      <c r="T21" s="70"/>
      <c r="U21" s="70"/>
      <c r="V21" s="70"/>
      <c r="W21" s="70"/>
    </row>
    <row r="22" spans="1:23" s="2" customFormat="1" ht="12.75" customHeight="1" hidden="1">
      <c r="A22" s="124">
        <v>1317</v>
      </c>
      <c r="B22" s="518" t="s">
        <v>176</v>
      </c>
      <c r="C22" s="430"/>
      <c r="D22" s="398">
        <v>37000</v>
      </c>
      <c r="E22" s="404"/>
      <c r="F22" s="404"/>
      <c r="G22" s="398"/>
      <c r="H22" s="398"/>
      <c r="I22" s="398"/>
      <c r="J22" s="757"/>
      <c r="K22" s="757"/>
      <c r="L22" s="757"/>
      <c r="M22" s="801" t="e">
        <f t="shared" si="0"/>
        <v>#DIV/0!</v>
      </c>
      <c r="N22" s="65"/>
      <c r="O22" s="69"/>
      <c r="P22" s="357"/>
      <c r="Q22" s="57"/>
      <c r="R22" s="348"/>
      <c r="S22" s="57"/>
      <c r="T22" s="70"/>
      <c r="U22" s="70"/>
      <c r="V22" s="70"/>
      <c r="W22" s="70"/>
    </row>
    <row r="23" spans="1:23" s="2" customFormat="1" ht="12.75" customHeight="1">
      <c r="A23" s="124">
        <v>1313</v>
      </c>
      <c r="B23" s="830" t="s">
        <v>24</v>
      </c>
      <c r="C23" s="430">
        <v>40000</v>
      </c>
      <c r="D23" s="398">
        <v>37752</v>
      </c>
      <c r="E23" s="404">
        <f>C23</f>
        <v>40000</v>
      </c>
      <c r="F23" s="404">
        <v>33632</v>
      </c>
      <c r="G23" s="398">
        <v>60000</v>
      </c>
      <c r="H23" s="398">
        <v>11920</v>
      </c>
      <c r="I23" s="398">
        <v>31920</v>
      </c>
      <c r="J23" s="757">
        <f>60000-30000</f>
        <v>30000</v>
      </c>
      <c r="K23" s="757">
        <f>60000-30000</f>
        <v>30000</v>
      </c>
      <c r="L23" s="757">
        <v>24587</v>
      </c>
      <c r="M23" s="801">
        <f t="shared" si="0"/>
        <v>0.8195666666666667</v>
      </c>
      <c r="N23" s="65"/>
      <c r="O23" s="69"/>
      <c r="P23" s="357"/>
      <c r="Q23" s="57">
        <f aca="true" t="shared" si="1" ref="Q23:Q29">J23</f>
        <v>30000</v>
      </c>
      <c r="R23" s="348"/>
      <c r="S23" s="57"/>
      <c r="T23" s="70"/>
      <c r="U23" s="70"/>
      <c r="V23" s="70"/>
      <c r="W23" s="70"/>
    </row>
    <row r="24" spans="1:23" s="2" customFormat="1" ht="12.75" customHeight="1">
      <c r="A24" s="124">
        <v>1318</v>
      </c>
      <c r="B24" s="830" t="s">
        <v>25</v>
      </c>
      <c r="C24" s="430">
        <v>40000</v>
      </c>
      <c r="D24" s="398">
        <v>28894</v>
      </c>
      <c r="E24" s="404">
        <v>15265</v>
      </c>
      <c r="F24" s="404">
        <v>15801</v>
      </c>
      <c r="G24" s="398">
        <v>40000</v>
      </c>
      <c r="H24" s="398">
        <v>19699</v>
      </c>
      <c r="I24" s="398">
        <v>19699</v>
      </c>
      <c r="J24" s="757">
        <v>19000</v>
      </c>
      <c r="K24" s="757">
        <v>19000</v>
      </c>
      <c r="L24" s="757">
        <f>28689-L47</f>
        <v>8689</v>
      </c>
      <c r="M24" s="801">
        <f t="shared" si="0"/>
        <v>0.45731578947368423</v>
      </c>
      <c r="N24" s="65"/>
      <c r="O24" s="69"/>
      <c r="P24" s="357"/>
      <c r="Q24" s="57">
        <f t="shared" si="1"/>
        <v>19000</v>
      </c>
      <c r="R24" s="348"/>
      <c r="S24" s="57">
        <v>9000</v>
      </c>
      <c r="T24" s="70"/>
      <c r="U24" s="70"/>
      <c r="V24" s="70"/>
      <c r="W24" s="70"/>
    </row>
    <row r="25" spans="1:23" s="2" customFormat="1" ht="12.75" customHeight="1">
      <c r="A25" s="124">
        <v>1311</v>
      </c>
      <c r="B25" s="830" t="s">
        <v>26</v>
      </c>
      <c r="C25" s="430">
        <v>120000</v>
      </c>
      <c r="D25" s="398">
        <v>135729</v>
      </c>
      <c r="E25" s="404">
        <v>127328</v>
      </c>
      <c r="F25" s="404">
        <v>117696</v>
      </c>
      <c r="G25" s="398">
        <v>130000</v>
      </c>
      <c r="H25" s="398"/>
      <c r="I25" s="398"/>
      <c r="J25" s="757">
        <v>130000</v>
      </c>
      <c r="K25" s="757">
        <v>130000</v>
      </c>
      <c r="L25" s="757">
        <v>0</v>
      </c>
      <c r="M25" s="801">
        <f t="shared" si="0"/>
        <v>0</v>
      </c>
      <c r="N25" s="65"/>
      <c r="O25" s="69"/>
      <c r="P25" s="357"/>
      <c r="Q25" s="57">
        <f t="shared" si="1"/>
        <v>130000</v>
      </c>
      <c r="R25" s="348"/>
      <c r="S25" s="57"/>
      <c r="T25" s="70"/>
      <c r="U25" s="70"/>
      <c r="V25" s="70"/>
      <c r="W25" s="70"/>
    </row>
    <row r="26" spans="1:23" s="2" customFormat="1" ht="12.75" customHeight="1" hidden="1">
      <c r="A26" s="124">
        <v>1500</v>
      </c>
      <c r="B26" s="518" t="s">
        <v>20</v>
      </c>
      <c r="C26" s="430">
        <v>402930</v>
      </c>
      <c r="D26" s="398">
        <v>452092</v>
      </c>
      <c r="E26" s="404">
        <v>510154</v>
      </c>
      <c r="F26" s="404">
        <v>628230</v>
      </c>
      <c r="G26" s="398"/>
      <c r="H26" s="398">
        <v>40635</v>
      </c>
      <c r="I26" s="398">
        <v>40635</v>
      </c>
      <c r="J26" s="757">
        <v>0</v>
      </c>
      <c r="K26" s="757">
        <v>0</v>
      </c>
      <c r="L26" s="757"/>
      <c r="M26" s="801" t="e">
        <f t="shared" si="0"/>
        <v>#DIV/0!</v>
      </c>
      <c r="N26" s="65"/>
      <c r="O26" s="69"/>
      <c r="P26" s="357"/>
      <c r="Q26" s="57">
        <f t="shared" si="1"/>
        <v>0</v>
      </c>
      <c r="R26" s="348"/>
      <c r="S26" s="57"/>
      <c r="T26" s="70"/>
      <c r="U26" s="70"/>
      <c r="V26" s="70"/>
      <c r="W26" s="70"/>
    </row>
    <row r="27" spans="1:23" s="2" customFormat="1" ht="12.75" customHeight="1">
      <c r="A27" s="124">
        <v>1323</v>
      </c>
      <c r="B27" s="830" t="s">
        <v>40</v>
      </c>
      <c r="C27" s="430">
        <v>50000</v>
      </c>
      <c r="D27" s="398">
        <v>26825</v>
      </c>
      <c r="E27" s="404">
        <v>15397</v>
      </c>
      <c r="F27" s="404">
        <v>15397</v>
      </c>
      <c r="G27" s="398">
        <v>30000</v>
      </c>
      <c r="H27" s="398">
        <v>16672</v>
      </c>
      <c r="I27" s="398">
        <v>16762</v>
      </c>
      <c r="J27" s="757">
        <v>30000</v>
      </c>
      <c r="K27" s="757">
        <v>30000</v>
      </c>
      <c r="L27" s="757">
        <v>1314</v>
      </c>
      <c r="M27" s="801">
        <f t="shared" si="0"/>
        <v>0.0438</v>
      </c>
      <c r="N27" s="65"/>
      <c r="O27" s="69"/>
      <c r="P27" s="357"/>
      <c r="Q27" s="57">
        <f t="shared" si="1"/>
        <v>30000</v>
      </c>
      <c r="R27" s="348"/>
      <c r="S27" s="57">
        <v>12000</v>
      </c>
      <c r="T27" s="70"/>
      <c r="U27" s="70"/>
      <c r="V27" s="70"/>
      <c r="W27" s="70"/>
    </row>
    <row r="28" spans="1:23" s="2" customFormat="1" ht="12.75" customHeight="1">
      <c r="A28" s="124">
        <v>1324</v>
      </c>
      <c r="B28" s="830" t="s">
        <v>41</v>
      </c>
      <c r="C28" s="430">
        <v>30000</v>
      </c>
      <c r="D28" s="398">
        <v>64487</v>
      </c>
      <c r="E28" s="404">
        <f>C28</f>
        <v>30000</v>
      </c>
      <c r="F28" s="404">
        <v>42642</v>
      </c>
      <c r="G28" s="398">
        <v>60000</v>
      </c>
      <c r="H28" s="398">
        <v>29980</v>
      </c>
      <c r="I28" s="398">
        <v>29980</v>
      </c>
      <c r="J28" s="757">
        <v>70000</v>
      </c>
      <c r="K28" s="757">
        <v>70000</v>
      </c>
      <c r="L28" s="757">
        <v>19200</v>
      </c>
      <c r="M28" s="801">
        <f t="shared" si="0"/>
        <v>0.2742857142857143</v>
      </c>
      <c r="N28" s="65"/>
      <c r="O28" s="69"/>
      <c r="P28" s="357"/>
      <c r="Q28" s="57">
        <f t="shared" si="1"/>
        <v>70000</v>
      </c>
      <c r="R28" s="348"/>
      <c r="S28" s="57">
        <v>50000</v>
      </c>
      <c r="T28" s="70"/>
      <c r="U28" s="70"/>
      <c r="V28" s="70"/>
      <c r="W28" s="70"/>
    </row>
    <row r="29" spans="1:23" s="2" customFormat="1" ht="12.75" customHeight="1">
      <c r="A29" s="124">
        <v>1325</v>
      </c>
      <c r="B29" s="833" t="s">
        <v>177</v>
      </c>
      <c r="C29" s="430">
        <v>80000</v>
      </c>
      <c r="D29" s="398">
        <v>291326</v>
      </c>
      <c r="E29" s="404">
        <v>316888</v>
      </c>
      <c r="F29" s="404">
        <v>316888</v>
      </c>
      <c r="G29" s="398">
        <v>330000</v>
      </c>
      <c r="H29" s="398">
        <v>309354</v>
      </c>
      <c r="I29" s="398">
        <v>316554</v>
      </c>
      <c r="J29" s="835">
        <f>355000-40000-50000</f>
        <v>265000</v>
      </c>
      <c r="K29" s="835">
        <f>355000-40000-50000</f>
        <v>265000</v>
      </c>
      <c r="L29" s="835">
        <v>1140</v>
      </c>
      <c r="M29" s="836">
        <f t="shared" si="0"/>
        <v>0.00430188679245283</v>
      </c>
      <c r="N29" s="65"/>
      <c r="O29" s="69"/>
      <c r="P29" s="357"/>
      <c r="Q29" s="57">
        <f t="shared" si="1"/>
        <v>265000</v>
      </c>
      <c r="R29" s="348"/>
      <c r="S29" s="57">
        <v>75000</v>
      </c>
      <c r="T29" s="70"/>
      <c r="U29" s="70"/>
      <c r="V29" s="70"/>
      <c r="W29" s="70"/>
    </row>
    <row r="30" spans="1:23" s="2" customFormat="1" ht="12.75" customHeight="1" hidden="1">
      <c r="A30" s="124"/>
      <c r="B30" s="535" t="s">
        <v>178</v>
      </c>
      <c r="C30" s="576"/>
      <c r="D30" s="577"/>
      <c r="E30" s="577">
        <v>50000</v>
      </c>
      <c r="F30" s="577">
        <v>50000</v>
      </c>
      <c r="G30" s="577"/>
      <c r="H30" s="577"/>
      <c r="I30" s="406"/>
      <c r="J30" s="835"/>
      <c r="K30" s="835"/>
      <c r="L30" s="835"/>
      <c r="M30" s="836" t="e">
        <f t="shared" si="0"/>
        <v>#DIV/0!</v>
      </c>
      <c r="N30" s="65"/>
      <c r="O30" s="69"/>
      <c r="P30" s="357"/>
      <c r="Q30" s="57"/>
      <c r="R30" s="348"/>
      <c r="S30" s="57"/>
      <c r="T30" s="70"/>
      <c r="U30" s="70"/>
      <c r="V30" s="70"/>
      <c r="W30" s="70"/>
    </row>
    <row r="31" spans="1:23" s="2" customFormat="1" ht="12.75" customHeight="1">
      <c r="A31" s="124">
        <v>1312</v>
      </c>
      <c r="B31" s="834" t="s">
        <v>179</v>
      </c>
      <c r="C31" s="576">
        <v>370000</v>
      </c>
      <c r="D31" s="577">
        <v>246390</v>
      </c>
      <c r="E31" s="593">
        <f>C31</f>
        <v>370000</v>
      </c>
      <c r="F31" s="593">
        <v>309048</v>
      </c>
      <c r="G31" s="577">
        <v>370000</v>
      </c>
      <c r="H31" s="577">
        <v>52</v>
      </c>
      <c r="I31" s="398">
        <v>2551</v>
      </c>
      <c r="J31" s="835">
        <v>270000</v>
      </c>
      <c r="K31" s="835">
        <v>270000</v>
      </c>
      <c r="L31" s="835">
        <v>36</v>
      </c>
      <c r="M31" s="836">
        <f t="shared" si="0"/>
        <v>0.00013333333333333334</v>
      </c>
      <c r="N31" s="65"/>
      <c r="O31" s="69"/>
      <c r="P31" s="357"/>
      <c r="Q31" s="57">
        <f aca="true" t="shared" si="2" ref="Q31:Q38">J31</f>
        <v>270000</v>
      </c>
      <c r="R31" s="348"/>
      <c r="S31" s="57"/>
      <c r="T31" s="70"/>
      <c r="U31" s="70"/>
      <c r="V31" s="70"/>
      <c r="W31" s="70"/>
    </row>
    <row r="32" spans="1:23" s="2" customFormat="1" ht="12.75" customHeight="1" hidden="1">
      <c r="A32" s="124"/>
      <c r="B32" s="644" t="s">
        <v>341</v>
      </c>
      <c r="C32" s="576"/>
      <c r="D32" s="577"/>
      <c r="E32" s="593"/>
      <c r="F32" s="593"/>
      <c r="G32" s="577"/>
      <c r="H32" s="577"/>
      <c r="I32" s="398"/>
      <c r="J32" s="757">
        <v>0</v>
      </c>
      <c r="K32" s="757">
        <v>0</v>
      </c>
      <c r="L32" s="757"/>
      <c r="M32" s="801" t="e">
        <f t="shared" si="0"/>
        <v>#DIV/0!</v>
      </c>
      <c r="N32" s="65"/>
      <c r="O32" s="69"/>
      <c r="P32" s="357"/>
      <c r="Q32" s="57">
        <f t="shared" si="2"/>
        <v>0</v>
      </c>
      <c r="R32" s="348"/>
      <c r="S32" s="57" t="s">
        <v>356</v>
      </c>
      <c r="T32" s="70"/>
      <c r="U32" s="70"/>
      <c r="V32" s="70"/>
      <c r="W32" s="70"/>
    </row>
    <row r="33" spans="1:23" s="2" customFormat="1" ht="12.75" customHeight="1" hidden="1">
      <c r="A33" s="124"/>
      <c r="B33" s="592" t="s">
        <v>245</v>
      </c>
      <c r="C33" s="576"/>
      <c r="D33" s="577"/>
      <c r="E33" s="593"/>
      <c r="F33" s="593"/>
      <c r="G33" s="577"/>
      <c r="H33" s="577"/>
      <c r="I33" s="398"/>
      <c r="J33" s="757"/>
      <c r="K33" s="757"/>
      <c r="L33" s="757"/>
      <c r="M33" s="801" t="e">
        <f t="shared" si="0"/>
        <v>#DIV/0!</v>
      </c>
      <c r="N33" s="65"/>
      <c r="O33" s="69"/>
      <c r="P33" s="357"/>
      <c r="Q33" s="57">
        <f t="shared" si="2"/>
        <v>0</v>
      </c>
      <c r="R33" s="348"/>
      <c r="S33" s="57"/>
      <c r="T33" s="70"/>
      <c r="U33" s="70"/>
      <c r="V33" s="70"/>
      <c r="W33" s="70"/>
    </row>
    <row r="34" spans="1:23" s="2" customFormat="1" ht="12.75" customHeight="1">
      <c r="A34" s="124">
        <v>1328</v>
      </c>
      <c r="B34" s="831" t="s">
        <v>44</v>
      </c>
      <c r="C34" s="576">
        <v>20000</v>
      </c>
      <c r="D34" s="577">
        <v>36664</v>
      </c>
      <c r="E34" s="593">
        <v>30050</v>
      </c>
      <c r="F34" s="593">
        <v>30050</v>
      </c>
      <c r="G34" s="577">
        <v>40000</v>
      </c>
      <c r="H34" s="577">
        <v>12</v>
      </c>
      <c r="I34" s="398">
        <v>7114</v>
      </c>
      <c r="J34" s="757">
        <v>38000</v>
      </c>
      <c r="K34" s="757">
        <v>38000</v>
      </c>
      <c r="L34" s="757">
        <v>0</v>
      </c>
      <c r="M34" s="801">
        <f t="shared" si="0"/>
        <v>0</v>
      </c>
      <c r="N34" s="65"/>
      <c r="O34" s="69"/>
      <c r="P34" s="357"/>
      <c r="Q34" s="57">
        <f t="shared" si="2"/>
        <v>38000</v>
      </c>
      <c r="R34" s="348"/>
      <c r="S34" s="57">
        <v>24000</v>
      </c>
      <c r="T34" s="70"/>
      <c r="U34" s="70"/>
      <c r="V34" s="70"/>
      <c r="W34" s="70"/>
    </row>
    <row r="35" spans="1:23" s="2" customFormat="1" ht="12.75" customHeight="1">
      <c r="A35" s="124">
        <v>1316</v>
      </c>
      <c r="B35" s="831" t="s">
        <v>220</v>
      </c>
      <c r="C35" s="576">
        <v>60000</v>
      </c>
      <c r="D35" s="577">
        <v>148949</v>
      </c>
      <c r="E35" s="593">
        <v>38895</v>
      </c>
      <c r="F35" s="593">
        <v>38895</v>
      </c>
      <c r="G35" s="577">
        <v>50000</v>
      </c>
      <c r="H35" s="577">
        <v>42335</v>
      </c>
      <c r="I35" s="398">
        <v>42335</v>
      </c>
      <c r="J35" s="757">
        <v>60000</v>
      </c>
      <c r="K35" s="757">
        <v>60000</v>
      </c>
      <c r="L35" s="757">
        <v>39207</v>
      </c>
      <c r="M35" s="801">
        <f t="shared" si="0"/>
        <v>0.65345</v>
      </c>
      <c r="N35" s="65"/>
      <c r="O35" s="69"/>
      <c r="P35" s="357"/>
      <c r="Q35" s="57">
        <f t="shared" si="2"/>
        <v>60000</v>
      </c>
      <c r="R35" s="348"/>
      <c r="S35" s="57">
        <v>30000</v>
      </c>
      <c r="T35" s="70"/>
      <c r="U35" s="70"/>
      <c r="V35" s="70"/>
      <c r="W35" s="70"/>
    </row>
    <row r="36" spans="1:23" s="2" customFormat="1" ht="12.75" customHeight="1">
      <c r="A36" s="124">
        <v>1208</v>
      </c>
      <c r="B36" s="831" t="s">
        <v>180</v>
      </c>
      <c r="C36" s="576">
        <v>50000</v>
      </c>
      <c r="D36" s="577">
        <v>145055</v>
      </c>
      <c r="E36" s="593">
        <f>C36</f>
        <v>50000</v>
      </c>
      <c r="F36" s="593">
        <v>184574</v>
      </c>
      <c r="G36" s="577">
        <v>123500</v>
      </c>
      <c r="H36" s="577">
        <v>112217</v>
      </c>
      <c r="I36" s="398">
        <v>112217</v>
      </c>
      <c r="J36" s="757">
        <v>155000</v>
      </c>
      <c r="K36" s="757">
        <v>155000</v>
      </c>
      <c r="L36" s="757">
        <v>117932</v>
      </c>
      <c r="M36" s="801">
        <f t="shared" si="0"/>
        <v>0.7608516129032258</v>
      </c>
      <c r="N36" s="65"/>
      <c r="O36" s="69"/>
      <c r="P36" s="357"/>
      <c r="Q36" s="57">
        <f t="shared" si="2"/>
        <v>155000</v>
      </c>
      <c r="R36" s="348"/>
      <c r="S36" s="57">
        <v>105000</v>
      </c>
      <c r="T36" s="70"/>
      <c r="U36" s="70"/>
      <c r="V36" s="70"/>
      <c r="W36" s="70"/>
    </row>
    <row r="37" spans="1:23" s="2" customFormat="1" ht="12.75" customHeight="1">
      <c r="A37" s="124">
        <v>1322</v>
      </c>
      <c r="B37" s="831" t="s">
        <v>221</v>
      </c>
      <c r="C37" s="576"/>
      <c r="D37" s="577"/>
      <c r="E37" s="593"/>
      <c r="F37" s="593"/>
      <c r="G37" s="577">
        <v>52000</v>
      </c>
      <c r="H37" s="577">
        <v>51462</v>
      </c>
      <c r="I37" s="398">
        <v>51462</v>
      </c>
      <c r="J37" s="757">
        <v>96000</v>
      </c>
      <c r="K37" s="757">
        <v>96000</v>
      </c>
      <c r="L37" s="757">
        <v>43503</v>
      </c>
      <c r="M37" s="801">
        <f t="shared" si="0"/>
        <v>0.45315625</v>
      </c>
      <c r="N37" s="65"/>
      <c r="O37" s="69"/>
      <c r="P37" s="357"/>
      <c r="Q37" s="57">
        <f t="shared" si="2"/>
        <v>96000</v>
      </c>
      <c r="R37" s="348"/>
      <c r="S37" s="57">
        <v>66000</v>
      </c>
      <c r="T37" s="70"/>
      <c r="U37" s="70"/>
      <c r="V37" s="70"/>
      <c r="W37" s="70"/>
    </row>
    <row r="38" spans="1:23" s="2" customFormat="1" ht="12.75" customHeight="1">
      <c r="A38" s="124">
        <v>1321</v>
      </c>
      <c r="B38" s="831" t="s">
        <v>181</v>
      </c>
      <c r="C38" s="576">
        <v>15000</v>
      </c>
      <c r="D38" s="577">
        <v>15013</v>
      </c>
      <c r="E38" s="593">
        <f>C38</f>
        <v>15000</v>
      </c>
      <c r="F38" s="593">
        <v>15211</v>
      </c>
      <c r="G38" s="577">
        <v>15000</v>
      </c>
      <c r="H38" s="577">
        <v>0</v>
      </c>
      <c r="I38" s="398"/>
      <c r="J38" s="757">
        <v>15000</v>
      </c>
      <c r="K38" s="757">
        <v>15000</v>
      </c>
      <c r="L38" s="757">
        <v>0</v>
      </c>
      <c r="M38" s="801">
        <f t="shared" si="0"/>
        <v>0</v>
      </c>
      <c r="N38" s="65"/>
      <c r="O38" s="69"/>
      <c r="P38" s="357"/>
      <c r="Q38" s="57">
        <f t="shared" si="2"/>
        <v>15000</v>
      </c>
      <c r="R38" s="348"/>
      <c r="S38" s="57"/>
      <c r="T38" s="70"/>
      <c r="U38" s="70"/>
      <c r="V38" s="70"/>
      <c r="W38" s="70"/>
    </row>
    <row r="39" spans="1:23" s="2" customFormat="1" ht="12.75" customHeight="1" hidden="1">
      <c r="A39" s="124">
        <v>1304</v>
      </c>
      <c r="B39" s="592" t="s">
        <v>45</v>
      </c>
      <c r="C39" s="576">
        <v>20000</v>
      </c>
      <c r="D39" s="577">
        <v>9000</v>
      </c>
      <c r="E39" s="593">
        <f>C39</f>
        <v>20000</v>
      </c>
      <c r="F39" s="593">
        <v>20602</v>
      </c>
      <c r="G39" s="577"/>
      <c r="H39" s="577">
        <v>0</v>
      </c>
      <c r="I39" s="398"/>
      <c r="J39" s="757"/>
      <c r="K39" s="757"/>
      <c r="L39" s="757"/>
      <c r="M39" s="801" t="e">
        <f t="shared" si="0"/>
        <v>#DIV/0!</v>
      </c>
      <c r="N39" s="65"/>
      <c r="O39" s="69"/>
      <c r="P39" s="357"/>
      <c r="Q39" s="57"/>
      <c r="R39" s="348"/>
      <c r="S39" s="57"/>
      <c r="T39" s="70"/>
      <c r="U39" s="70"/>
      <c r="V39" s="70"/>
      <c r="W39" s="70"/>
    </row>
    <row r="40" spans="1:23" s="2" customFormat="1" ht="12.75" customHeight="1">
      <c r="A40" s="124">
        <v>1320</v>
      </c>
      <c r="B40" s="834" t="s">
        <v>182</v>
      </c>
      <c r="C40" s="576">
        <v>50000</v>
      </c>
      <c r="D40" s="577">
        <v>5500</v>
      </c>
      <c r="E40" s="593">
        <v>54436</v>
      </c>
      <c r="F40" s="593">
        <v>54436</v>
      </c>
      <c r="G40" s="577">
        <v>80000</v>
      </c>
      <c r="H40" s="577">
        <v>1295</v>
      </c>
      <c r="I40" s="398">
        <v>9535</v>
      </c>
      <c r="J40" s="835">
        <f>80000-10000</f>
        <v>70000</v>
      </c>
      <c r="K40" s="835">
        <f>80000-10000</f>
        <v>70000</v>
      </c>
      <c r="L40" s="835">
        <v>0</v>
      </c>
      <c r="M40" s="836">
        <f t="shared" si="0"/>
        <v>0</v>
      </c>
      <c r="N40" s="65"/>
      <c r="O40" s="69"/>
      <c r="P40" s="357"/>
      <c r="Q40" s="57">
        <f>J40</f>
        <v>70000</v>
      </c>
      <c r="R40" s="348"/>
      <c r="S40" s="57">
        <v>30000</v>
      </c>
      <c r="T40" s="70"/>
      <c r="U40" s="70"/>
      <c r="V40" s="70"/>
      <c r="W40" s="70"/>
    </row>
    <row r="41" spans="1:23" s="2" customFormat="1" ht="12.75" customHeight="1" hidden="1">
      <c r="A41" s="124"/>
      <c r="B41" s="592" t="s">
        <v>183</v>
      </c>
      <c r="C41" s="576"/>
      <c r="D41" s="577"/>
      <c r="E41" s="593">
        <v>10000</v>
      </c>
      <c r="F41" s="593">
        <v>10000</v>
      </c>
      <c r="G41" s="577"/>
      <c r="H41" s="577"/>
      <c r="I41" s="406"/>
      <c r="J41" s="757"/>
      <c r="K41" s="757"/>
      <c r="L41" s="757"/>
      <c r="M41" s="801" t="e">
        <f t="shared" si="0"/>
        <v>#DIV/0!</v>
      </c>
      <c r="N41" s="65"/>
      <c r="O41" s="69"/>
      <c r="P41" s="357"/>
      <c r="Q41" s="57"/>
      <c r="R41" s="348"/>
      <c r="S41" s="57"/>
      <c r="T41" s="70"/>
      <c r="U41" s="70"/>
      <c r="V41" s="70"/>
      <c r="W41" s="70"/>
    </row>
    <row r="42" spans="1:23" s="2" customFormat="1" ht="12.75" customHeight="1">
      <c r="A42" s="124">
        <v>1305</v>
      </c>
      <c r="B42" s="592" t="s">
        <v>343</v>
      </c>
      <c r="C42" s="576">
        <v>20000</v>
      </c>
      <c r="D42" s="577">
        <v>19921</v>
      </c>
      <c r="E42" s="593">
        <f>C42</f>
        <v>20000</v>
      </c>
      <c r="F42" s="593">
        <v>12524</v>
      </c>
      <c r="G42" s="577">
        <v>20000</v>
      </c>
      <c r="H42" s="577">
        <v>7744</v>
      </c>
      <c r="I42" s="398">
        <v>8349</v>
      </c>
      <c r="J42" s="757">
        <v>10000</v>
      </c>
      <c r="K42" s="757">
        <v>10000</v>
      </c>
      <c r="L42" s="757">
        <v>0</v>
      </c>
      <c r="M42" s="801">
        <f t="shared" si="0"/>
        <v>0</v>
      </c>
      <c r="N42" s="65"/>
      <c r="O42" s="69"/>
      <c r="P42" s="357"/>
      <c r="Q42" s="57">
        <f>J42</f>
        <v>10000</v>
      </c>
      <c r="R42" s="348"/>
      <c r="S42" s="57"/>
      <c r="T42" s="70"/>
      <c r="U42" s="70"/>
      <c r="V42" s="70"/>
      <c r="W42" s="70"/>
    </row>
    <row r="43" spans="1:23" s="2" customFormat="1" ht="12.75" customHeight="1">
      <c r="A43" s="124">
        <v>1905</v>
      </c>
      <c r="B43" s="831" t="s">
        <v>186</v>
      </c>
      <c r="C43" s="576"/>
      <c r="D43" s="577"/>
      <c r="E43" s="593">
        <v>40000</v>
      </c>
      <c r="F43" s="593">
        <v>85118</v>
      </c>
      <c r="G43" s="577">
        <v>90000</v>
      </c>
      <c r="H43" s="577">
        <v>70</v>
      </c>
      <c r="I43" s="406">
        <v>6074</v>
      </c>
      <c r="J43" s="757">
        <v>80000</v>
      </c>
      <c r="K43" s="757">
        <v>80000</v>
      </c>
      <c r="L43" s="757">
        <v>0</v>
      </c>
      <c r="M43" s="801">
        <f t="shared" si="0"/>
        <v>0</v>
      </c>
      <c r="N43" s="65"/>
      <c r="O43" s="69"/>
      <c r="P43" s="357"/>
      <c r="Q43" s="57">
        <f>J43</f>
        <v>80000</v>
      </c>
      <c r="R43" s="348"/>
      <c r="S43" s="57"/>
      <c r="T43" s="70"/>
      <c r="U43" s="70"/>
      <c r="V43" s="70"/>
      <c r="W43" s="70"/>
    </row>
    <row r="44" spans="1:23" s="2" customFormat="1" ht="12.75" customHeight="1" hidden="1">
      <c r="A44" s="124"/>
      <c r="B44" s="592" t="s">
        <v>308</v>
      </c>
      <c r="C44" s="576"/>
      <c r="D44" s="577"/>
      <c r="E44" s="593">
        <v>15000</v>
      </c>
      <c r="F44" s="593">
        <v>15000</v>
      </c>
      <c r="G44" s="577"/>
      <c r="H44" s="577"/>
      <c r="I44" s="406"/>
      <c r="J44" s="757"/>
      <c r="K44" s="757"/>
      <c r="L44" s="757"/>
      <c r="M44" s="801" t="e">
        <f t="shared" si="0"/>
        <v>#DIV/0!</v>
      </c>
      <c r="N44" s="65"/>
      <c r="O44" s="69"/>
      <c r="P44" s="357"/>
      <c r="Q44" s="57"/>
      <c r="R44" s="348"/>
      <c r="S44" s="57"/>
      <c r="T44" s="70"/>
      <c r="U44" s="70"/>
      <c r="V44" s="70"/>
      <c r="W44" s="70"/>
    </row>
    <row r="45" spans="1:23" s="2" customFormat="1" ht="12.75" customHeight="1">
      <c r="A45" s="124">
        <v>1308</v>
      </c>
      <c r="B45" s="834" t="s">
        <v>317</v>
      </c>
      <c r="C45" s="576"/>
      <c r="D45" s="577"/>
      <c r="E45" s="593"/>
      <c r="F45" s="593">
        <v>86701</v>
      </c>
      <c r="G45" s="577">
        <v>210000</v>
      </c>
      <c r="H45" s="577">
        <v>1984</v>
      </c>
      <c r="I45" s="406">
        <v>194070</v>
      </c>
      <c r="J45" s="835">
        <v>106000</v>
      </c>
      <c r="K45" s="835">
        <v>106000</v>
      </c>
      <c r="L45" s="835">
        <v>0</v>
      </c>
      <c r="M45" s="836">
        <f t="shared" si="0"/>
        <v>0</v>
      </c>
      <c r="N45" s="65"/>
      <c r="O45" s="69"/>
      <c r="P45" s="357"/>
      <c r="Q45" s="57">
        <f aca="true" t="shared" si="3" ref="Q45:Q50">J45</f>
        <v>106000</v>
      </c>
      <c r="R45" s="348"/>
      <c r="S45" s="57">
        <v>6000</v>
      </c>
      <c r="T45" s="70"/>
      <c r="U45" s="70"/>
      <c r="V45" s="70"/>
      <c r="W45" s="70"/>
    </row>
    <row r="46" spans="1:23" s="2" customFormat="1" ht="12.75" customHeight="1" hidden="1">
      <c r="A46" s="124">
        <v>1331</v>
      </c>
      <c r="B46" s="592" t="s">
        <v>254</v>
      </c>
      <c r="C46" s="576"/>
      <c r="D46" s="577"/>
      <c r="E46" s="593"/>
      <c r="F46" s="593"/>
      <c r="G46" s="577">
        <v>90000</v>
      </c>
      <c r="H46" s="577"/>
      <c r="I46" s="406">
        <v>1305</v>
      </c>
      <c r="J46" s="757"/>
      <c r="K46" s="757"/>
      <c r="L46" s="757"/>
      <c r="M46" s="801" t="e">
        <f t="shared" si="0"/>
        <v>#DIV/0!</v>
      </c>
      <c r="N46" s="65"/>
      <c r="O46" s="69"/>
      <c r="P46" s="357"/>
      <c r="Q46" s="57">
        <f t="shared" si="3"/>
        <v>0</v>
      </c>
      <c r="R46" s="348"/>
      <c r="S46" s="57"/>
      <c r="T46" s="70"/>
      <c r="U46" s="70"/>
      <c r="V46" s="70"/>
      <c r="W46" s="70"/>
    </row>
    <row r="47" spans="1:23" s="2" customFormat="1" ht="12.75" customHeight="1">
      <c r="A47" s="124">
        <v>1313</v>
      </c>
      <c r="B47" s="832" t="s">
        <v>342</v>
      </c>
      <c r="C47" s="798"/>
      <c r="D47" s="398"/>
      <c r="E47" s="404"/>
      <c r="F47" s="404"/>
      <c r="G47" s="398"/>
      <c r="H47" s="398"/>
      <c r="I47" s="398"/>
      <c r="J47" s="757">
        <v>20000</v>
      </c>
      <c r="K47" s="757">
        <v>20000</v>
      </c>
      <c r="L47" s="757">
        <v>20000</v>
      </c>
      <c r="M47" s="801">
        <f t="shared" si="0"/>
        <v>1</v>
      </c>
      <c r="N47" s="65"/>
      <c r="O47" s="69"/>
      <c r="P47" s="357"/>
      <c r="Q47" s="57">
        <f t="shared" si="3"/>
        <v>20000</v>
      </c>
      <c r="R47" s="348"/>
      <c r="S47" s="57"/>
      <c r="T47" s="70"/>
      <c r="U47" s="70"/>
      <c r="V47" s="70"/>
      <c r="W47" s="70"/>
    </row>
    <row r="48" spans="1:23" s="2" customFormat="1" ht="12.75" customHeight="1">
      <c r="A48" s="124">
        <v>1302</v>
      </c>
      <c r="B48" s="832" t="s">
        <v>344</v>
      </c>
      <c r="C48" s="798"/>
      <c r="D48" s="398"/>
      <c r="E48" s="404"/>
      <c r="F48" s="404"/>
      <c r="G48" s="398"/>
      <c r="H48" s="398"/>
      <c r="I48" s="398"/>
      <c r="J48" s="757">
        <v>10000</v>
      </c>
      <c r="K48" s="757">
        <v>10000</v>
      </c>
      <c r="L48" s="757">
        <v>25431</v>
      </c>
      <c r="M48" s="801">
        <f t="shared" si="0"/>
        <v>2.5431</v>
      </c>
      <c r="N48" s="65"/>
      <c r="O48" s="69"/>
      <c r="P48" s="357"/>
      <c r="Q48" s="57">
        <f t="shared" si="3"/>
        <v>10000</v>
      </c>
      <c r="R48" s="348"/>
      <c r="S48" s="57"/>
      <c r="T48" s="70"/>
      <c r="U48" s="70"/>
      <c r="V48" s="70"/>
      <c r="W48" s="70"/>
    </row>
    <row r="49" spans="1:23" s="2" customFormat="1" ht="12.75" customHeight="1" hidden="1">
      <c r="A49" s="124"/>
      <c r="B49" s="530" t="s">
        <v>225</v>
      </c>
      <c r="C49" s="798"/>
      <c r="D49" s="398"/>
      <c r="E49" s="404"/>
      <c r="F49" s="404"/>
      <c r="G49" s="398"/>
      <c r="H49" s="398"/>
      <c r="I49" s="398"/>
      <c r="J49" s="757"/>
      <c r="K49" s="757"/>
      <c r="L49" s="757"/>
      <c r="M49" s="801" t="e">
        <f t="shared" si="0"/>
        <v>#DIV/0!</v>
      </c>
      <c r="N49" s="65"/>
      <c r="O49" s="69"/>
      <c r="P49" s="357"/>
      <c r="Q49" s="57">
        <f t="shared" si="3"/>
        <v>0</v>
      </c>
      <c r="R49" s="57"/>
      <c r="S49" s="57"/>
      <c r="T49" s="70"/>
      <c r="U49" s="70"/>
      <c r="V49" s="70"/>
      <c r="W49" s="70"/>
    </row>
    <row r="50" spans="1:23" s="2" customFormat="1" ht="12.75" customHeight="1" hidden="1">
      <c r="A50" s="124"/>
      <c r="B50" s="530" t="s">
        <v>226</v>
      </c>
      <c r="C50" s="798"/>
      <c r="D50" s="398"/>
      <c r="E50" s="404"/>
      <c r="F50" s="404"/>
      <c r="G50" s="398"/>
      <c r="H50" s="398"/>
      <c r="I50" s="398"/>
      <c r="J50" s="757"/>
      <c r="K50" s="757"/>
      <c r="L50" s="757"/>
      <c r="M50" s="801" t="e">
        <f t="shared" si="0"/>
        <v>#DIV/0!</v>
      </c>
      <c r="N50" s="65"/>
      <c r="O50" s="69"/>
      <c r="P50" s="357"/>
      <c r="Q50" s="57">
        <f t="shared" si="3"/>
        <v>0</v>
      </c>
      <c r="R50" s="57"/>
      <c r="S50" s="57"/>
      <c r="T50" s="70"/>
      <c r="U50" s="70"/>
      <c r="V50" s="70"/>
      <c r="W50" s="70"/>
    </row>
    <row r="51" spans="1:23" s="2" customFormat="1" ht="12.75" customHeight="1" hidden="1">
      <c r="A51" s="124"/>
      <c r="B51" s="530" t="s">
        <v>184</v>
      </c>
      <c r="C51" s="798"/>
      <c r="D51" s="398">
        <v>57000</v>
      </c>
      <c r="E51" s="404"/>
      <c r="F51" s="404"/>
      <c r="G51" s="398"/>
      <c r="H51" s="398"/>
      <c r="I51" s="398"/>
      <c r="J51" s="757">
        <v>0</v>
      </c>
      <c r="K51" s="757">
        <v>0</v>
      </c>
      <c r="L51" s="757"/>
      <c r="M51" s="801" t="e">
        <f t="shared" si="0"/>
        <v>#DIV/0!</v>
      </c>
      <c r="N51" s="65"/>
      <c r="O51" s="69"/>
      <c r="P51" s="357"/>
      <c r="Q51" s="57"/>
      <c r="R51" s="57"/>
      <c r="S51" s="57"/>
      <c r="T51" s="70"/>
      <c r="U51" s="70"/>
      <c r="V51" s="70"/>
      <c r="W51" s="70"/>
    </row>
    <row r="52" spans="1:23" s="2" customFormat="1" ht="12.75" customHeight="1" hidden="1">
      <c r="A52" s="124"/>
      <c r="B52" s="530" t="s">
        <v>185</v>
      </c>
      <c r="C52" s="798"/>
      <c r="D52" s="398">
        <v>393700</v>
      </c>
      <c r="E52" s="404"/>
      <c r="F52" s="397">
        <v>130800</v>
      </c>
      <c r="G52" s="398"/>
      <c r="H52" s="398"/>
      <c r="I52" s="398"/>
      <c r="J52" s="757"/>
      <c r="K52" s="757"/>
      <c r="L52" s="757"/>
      <c r="M52" s="801" t="e">
        <f t="shared" si="0"/>
        <v>#DIV/0!</v>
      </c>
      <c r="N52" s="65"/>
      <c r="O52" s="69"/>
      <c r="P52" s="357"/>
      <c r="Q52" s="57"/>
      <c r="R52" s="57"/>
      <c r="S52" s="57"/>
      <c r="T52" s="70"/>
      <c r="U52" s="70"/>
      <c r="V52" s="70"/>
      <c r="W52" s="70"/>
    </row>
    <row r="53" spans="1:23" s="2" customFormat="1" ht="12.75" customHeight="1" hidden="1">
      <c r="A53" s="124"/>
      <c r="B53" s="530" t="s">
        <v>318</v>
      </c>
      <c r="C53" s="798">
        <v>30262</v>
      </c>
      <c r="D53" s="398"/>
      <c r="E53" s="404">
        <f>C53</f>
        <v>30262</v>
      </c>
      <c r="F53" s="404">
        <v>13469</v>
      </c>
      <c r="G53" s="398">
        <v>37644</v>
      </c>
      <c r="H53" s="398"/>
      <c r="I53" s="398"/>
      <c r="J53" s="757"/>
      <c r="K53" s="757"/>
      <c r="L53" s="757"/>
      <c r="M53" s="801" t="e">
        <f t="shared" si="0"/>
        <v>#DIV/0!</v>
      </c>
      <c r="N53" s="65"/>
      <c r="O53" s="69"/>
      <c r="P53" s="357"/>
      <c r="Q53" s="57"/>
      <c r="R53" s="57"/>
      <c r="S53" s="57"/>
      <c r="T53" s="70"/>
      <c r="U53" s="70"/>
      <c r="V53" s="70"/>
      <c r="W53" s="70"/>
    </row>
    <row r="54" spans="1:23" s="2" customFormat="1" ht="12.75" customHeight="1" hidden="1">
      <c r="A54" s="124"/>
      <c r="B54" s="530" t="s">
        <v>189</v>
      </c>
      <c r="C54" s="799">
        <v>162594</v>
      </c>
      <c r="D54" s="398"/>
      <c r="E54" s="404">
        <f>C54</f>
        <v>162594</v>
      </c>
      <c r="F54" s="404">
        <v>158546</v>
      </c>
      <c r="G54" s="398">
        <v>677600</v>
      </c>
      <c r="H54" s="398"/>
      <c r="I54" s="398"/>
      <c r="J54" s="757"/>
      <c r="K54" s="757"/>
      <c r="L54" s="757"/>
      <c r="M54" s="801" t="e">
        <f t="shared" si="0"/>
        <v>#DIV/0!</v>
      </c>
      <c r="N54" s="65"/>
      <c r="O54" s="69"/>
      <c r="P54" s="357"/>
      <c r="Q54" s="57"/>
      <c r="R54" s="57"/>
      <c r="S54" s="57"/>
      <c r="T54" s="70"/>
      <c r="U54" s="70"/>
      <c r="V54" s="70"/>
      <c r="W54" s="70"/>
    </row>
    <row r="55" spans="1:23" s="2" customFormat="1" ht="12.75" customHeight="1">
      <c r="A55" s="124"/>
      <c r="B55" s="837" t="s">
        <v>362</v>
      </c>
      <c r="C55" s="838"/>
      <c r="D55" s="839"/>
      <c r="E55" s="840"/>
      <c r="F55" s="840"/>
      <c r="G55" s="839"/>
      <c r="H55" s="839"/>
      <c r="I55" s="839"/>
      <c r="J55" s="841">
        <v>50000</v>
      </c>
      <c r="K55" s="841">
        <v>50000</v>
      </c>
      <c r="L55" s="835">
        <v>0</v>
      </c>
      <c r="M55" s="836">
        <f t="shared" si="0"/>
        <v>0</v>
      </c>
      <c r="N55" s="65"/>
      <c r="O55" s="69"/>
      <c r="P55" s="688"/>
      <c r="Q55" s="57">
        <f>J55</f>
        <v>50000</v>
      </c>
      <c r="R55" s="57"/>
      <c r="S55" s="57"/>
      <c r="T55" s="70"/>
      <c r="U55" s="70"/>
      <c r="V55" s="70"/>
      <c r="W55" s="70"/>
    </row>
    <row r="56" spans="1:23" s="2" customFormat="1" ht="12.75" customHeight="1">
      <c r="A56" s="124"/>
      <c r="B56" s="837" t="s">
        <v>363</v>
      </c>
      <c r="C56" s="838"/>
      <c r="D56" s="839"/>
      <c r="E56" s="840"/>
      <c r="F56" s="840"/>
      <c r="G56" s="839"/>
      <c r="H56" s="839"/>
      <c r="I56" s="839"/>
      <c r="J56" s="841">
        <v>50000</v>
      </c>
      <c r="K56" s="841">
        <v>50000</v>
      </c>
      <c r="L56" s="835">
        <v>0</v>
      </c>
      <c r="M56" s="836">
        <f t="shared" si="0"/>
        <v>0</v>
      </c>
      <c r="N56" s="65"/>
      <c r="O56" s="69"/>
      <c r="P56" s="688"/>
      <c r="Q56" s="57">
        <f>J56</f>
        <v>50000</v>
      </c>
      <c r="R56" s="57"/>
      <c r="S56" s="57"/>
      <c r="T56" s="70"/>
      <c r="U56" s="70"/>
      <c r="V56" s="70"/>
      <c r="W56" s="70"/>
    </row>
    <row r="57" spans="1:23" s="2" customFormat="1" ht="12.75" customHeight="1">
      <c r="A57" s="124"/>
      <c r="B57" s="748" t="s">
        <v>434</v>
      </c>
      <c r="C57" s="690"/>
      <c r="D57" s="692"/>
      <c r="E57" s="693"/>
      <c r="F57" s="693"/>
      <c r="G57" s="692"/>
      <c r="H57" s="692"/>
      <c r="I57" s="692"/>
      <c r="J57" s="760"/>
      <c r="K57" s="796">
        <v>180000</v>
      </c>
      <c r="L57" s="757">
        <v>0</v>
      </c>
      <c r="M57" s="801">
        <f t="shared" si="0"/>
        <v>0</v>
      </c>
      <c r="N57" s="65"/>
      <c r="O57" s="69"/>
      <c r="P57" s="688"/>
      <c r="Q57" s="57"/>
      <c r="R57" s="57"/>
      <c r="S57" s="57"/>
      <c r="T57" s="70"/>
      <c r="U57" s="70"/>
      <c r="V57" s="70"/>
      <c r="W57" s="70"/>
    </row>
    <row r="58" spans="1:23" s="2" customFormat="1" ht="12.75" customHeight="1">
      <c r="A58" s="124"/>
      <c r="B58" s="748" t="s">
        <v>435</v>
      </c>
      <c r="C58" s="690"/>
      <c r="D58" s="692"/>
      <c r="E58" s="693"/>
      <c r="F58" s="693"/>
      <c r="G58" s="692"/>
      <c r="H58" s="692"/>
      <c r="I58" s="692"/>
      <c r="J58" s="760"/>
      <c r="K58" s="796">
        <v>50000</v>
      </c>
      <c r="L58" s="773"/>
      <c r="M58" s="801"/>
      <c r="N58" s="65"/>
      <c r="O58" s="69"/>
      <c r="P58" s="688"/>
      <c r="Q58" s="57"/>
      <c r="R58" s="57"/>
      <c r="S58" s="57"/>
      <c r="T58" s="70"/>
      <c r="U58" s="70"/>
      <c r="V58" s="70"/>
      <c r="W58" s="70"/>
    </row>
    <row r="59" spans="1:23" s="2" customFormat="1" ht="12.75" customHeight="1" thickBot="1">
      <c r="A59" s="124"/>
      <c r="B59" s="536" t="s">
        <v>157</v>
      </c>
      <c r="C59" s="432">
        <v>727935</v>
      </c>
      <c r="D59" s="408">
        <v>710944</v>
      </c>
      <c r="E59" s="407">
        <f>C59</f>
        <v>727935</v>
      </c>
      <c r="F59" s="407">
        <v>680479</v>
      </c>
      <c r="G59" s="408">
        <v>749468</v>
      </c>
      <c r="H59" s="408">
        <v>293555</v>
      </c>
      <c r="I59" s="408">
        <v>342069</v>
      </c>
      <c r="J59" s="761">
        <f>830651-J126-46000</f>
        <v>759885</v>
      </c>
      <c r="K59" s="761">
        <v>759885</v>
      </c>
      <c r="L59" s="761">
        <v>184987</v>
      </c>
      <c r="M59" s="801">
        <f t="shared" si="0"/>
        <v>0.24344078380281226</v>
      </c>
      <c r="N59" s="81"/>
      <c r="O59" s="69"/>
      <c r="P59" s="359"/>
      <c r="Q59" s="57"/>
      <c r="R59" s="57"/>
      <c r="S59" s="57"/>
      <c r="T59" s="70"/>
      <c r="U59" s="70"/>
      <c r="V59" s="70"/>
      <c r="W59" s="70"/>
    </row>
    <row r="60" spans="1:19" s="11" customFormat="1" ht="14.25" thickBot="1">
      <c r="A60" s="124"/>
      <c r="B60" s="434" t="s">
        <v>2</v>
      </c>
      <c r="C60" s="433">
        <f aca="true" t="shared" si="4" ref="C60:L60">SUM(C7:C59)</f>
        <v>12493975</v>
      </c>
      <c r="D60" s="360">
        <f t="shared" si="4"/>
        <v>12469547</v>
      </c>
      <c r="E60" s="44">
        <f t="shared" si="4"/>
        <v>12888766</v>
      </c>
      <c r="F60" s="44">
        <f t="shared" si="4"/>
        <v>12963019</v>
      </c>
      <c r="G60" s="360">
        <f t="shared" si="4"/>
        <v>13719257</v>
      </c>
      <c r="H60" s="360">
        <f t="shared" si="4"/>
        <v>5235784</v>
      </c>
      <c r="I60" s="360">
        <f t="shared" si="4"/>
        <v>6245701</v>
      </c>
      <c r="J60" s="762">
        <f t="shared" si="4"/>
        <v>14081624</v>
      </c>
      <c r="K60" s="762">
        <f t="shared" si="4"/>
        <v>14311624</v>
      </c>
      <c r="L60" s="762">
        <f t="shared" si="4"/>
        <v>3574756</v>
      </c>
      <c r="M60" s="762"/>
      <c r="N60" s="82"/>
      <c r="O60" s="83"/>
      <c r="P60" s="124"/>
      <c r="Q60" s="695">
        <f>SUM(Q12:Q59)</f>
        <v>2978500</v>
      </c>
      <c r="R60" s="7"/>
      <c r="S60" s="695">
        <f>SUM(S12:S59)</f>
        <v>471500</v>
      </c>
    </row>
    <row r="61" spans="1:22" ht="15.75" thickBot="1">
      <c r="A61" s="347"/>
      <c r="B61" s="361"/>
      <c r="C61" s="13"/>
      <c r="D61" s="362"/>
      <c r="E61" s="22"/>
      <c r="F61" s="22"/>
      <c r="G61" s="362"/>
      <c r="H61" s="362"/>
      <c r="I61" s="362"/>
      <c r="J61" s="619"/>
      <c r="K61" s="763"/>
      <c r="L61" s="764"/>
      <c r="M61" s="765"/>
      <c r="N61" s="65"/>
      <c r="O61" s="33"/>
      <c r="Q61" s="7"/>
      <c r="R61" s="7"/>
      <c r="S61" s="7"/>
      <c r="T61" s="10"/>
      <c r="U61" s="10"/>
      <c r="V61" s="10"/>
    </row>
    <row r="62" spans="2:22" ht="15.75" thickBot="1">
      <c r="B62" s="363" t="s">
        <v>3</v>
      </c>
      <c r="C62" s="14"/>
      <c r="D62" s="362"/>
      <c r="E62" s="22"/>
      <c r="F62" s="22"/>
      <c r="G62" s="362"/>
      <c r="H62" s="362"/>
      <c r="I62" s="362"/>
      <c r="J62" s="619"/>
      <c r="K62" s="13"/>
      <c r="L62" s="764"/>
      <c r="M62" s="765"/>
      <c r="N62" s="65"/>
      <c r="O62" s="33"/>
      <c r="Q62" s="7"/>
      <c r="R62" s="7"/>
      <c r="S62" s="7"/>
      <c r="T62" s="10"/>
      <c r="U62" s="5"/>
      <c r="V62" s="10"/>
    </row>
    <row r="63" spans="1:22" s="2" customFormat="1" ht="12.75" customHeight="1">
      <c r="A63" s="124"/>
      <c r="B63" s="525" t="s">
        <v>11</v>
      </c>
      <c r="C63" s="444">
        <v>2500000</v>
      </c>
      <c r="D63" s="437">
        <v>2882256</v>
      </c>
      <c r="E63" s="436">
        <f>C63</f>
        <v>2500000</v>
      </c>
      <c r="F63" s="436">
        <v>2548002</v>
      </c>
      <c r="G63" s="437">
        <v>2680000</v>
      </c>
      <c r="H63" s="437">
        <v>1524300</v>
      </c>
      <c r="I63" s="437">
        <v>1695100</v>
      </c>
      <c r="J63" s="766">
        <v>2948000</v>
      </c>
      <c r="K63" s="766">
        <v>2948000</v>
      </c>
      <c r="L63" s="766">
        <v>998005</v>
      </c>
      <c r="M63" s="806">
        <f>L63/K63</f>
        <v>0.3385362957937585</v>
      </c>
      <c r="N63" s="65"/>
      <c r="O63" s="69"/>
      <c r="P63" s="356"/>
      <c r="Q63" s="57"/>
      <c r="R63" s="16"/>
      <c r="S63" s="57"/>
      <c r="T63" s="69"/>
      <c r="U63" s="69"/>
      <c r="V63" s="69"/>
    </row>
    <row r="64" spans="1:22" s="2" customFormat="1" ht="12.75" customHeight="1" hidden="1">
      <c r="A64" s="124"/>
      <c r="B64" s="526" t="s">
        <v>227</v>
      </c>
      <c r="C64" s="426"/>
      <c r="D64" s="411"/>
      <c r="E64" s="496"/>
      <c r="F64" s="496"/>
      <c r="G64" s="411"/>
      <c r="H64" s="411"/>
      <c r="I64" s="411"/>
      <c r="J64" s="754"/>
      <c r="K64" s="754"/>
      <c r="L64" s="754"/>
      <c r="M64" s="754"/>
      <c r="N64" s="65"/>
      <c r="O64" s="69"/>
      <c r="P64" s="414"/>
      <c r="Q64" s="57"/>
      <c r="R64" s="16"/>
      <c r="S64" s="57"/>
      <c r="T64" s="69"/>
      <c r="U64" s="69"/>
      <c r="V64" s="69"/>
    </row>
    <row r="65" spans="1:22" s="2" customFormat="1" ht="12.75" customHeight="1" hidden="1">
      <c r="A65" s="124"/>
      <c r="B65" s="527" t="s">
        <v>190</v>
      </c>
      <c r="C65" s="427">
        <v>162594</v>
      </c>
      <c r="D65" s="398"/>
      <c r="E65" s="439">
        <f>C65</f>
        <v>162594</v>
      </c>
      <c r="F65" s="439">
        <v>158546</v>
      </c>
      <c r="G65" s="398">
        <v>677600</v>
      </c>
      <c r="H65" s="398"/>
      <c r="I65" s="406"/>
      <c r="J65" s="757">
        <v>0</v>
      </c>
      <c r="K65" s="757">
        <v>0</v>
      </c>
      <c r="L65" s="757"/>
      <c r="M65" s="757"/>
      <c r="N65" s="65"/>
      <c r="O65" s="69"/>
      <c r="P65" s="357"/>
      <c r="Q65" s="57"/>
      <c r="R65" s="16"/>
      <c r="S65" s="57"/>
      <c r="T65" s="69"/>
      <c r="U65" s="69"/>
      <c r="V65" s="69"/>
    </row>
    <row r="66" spans="1:22" s="2" customFormat="1" ht="12.75" customHeight="1" hidden="1">
      <c r="A66" s="124"/>
      <c r="B66" s="527" t="s">
        <v>192</v>
      </c>
      <c r="C66" s="430">
        <v>30262</v>
      </c>
      <c r="D66" s="398"/>
      <c r="E66" s="439">
        <f>C66</f>
        <v>30262</v>
      </c>
      <c r="F66" s="439">
        <v>0</v>
      </c>
      <c r="G66" s="398">
        <v>37644</v>
      </c>
      <c r="H66" s="398"/>
      <c r="I66" s="406"/>
      <c r="J66" s="757">
        <v>0</v>
      </c>
      <c r="K66" s="757">
        <v>0</v>
      </c>
      <c r="L66" s="757"/>
      <c r="M66" s="757"/>
      <c r="N66" s="65"/>
      <c r="O66" s="69"/>
      <c r="P66" s="357"/>
      <c r="Q66" s="57"/>
      <c r="R66" s="16"/>
      <c r="S66" s="57"/>
      <c r="T66" s="69"/>
      <c r="U66" s="69"/>
      <c r="V66" s="69"/>
    </row>
    <row r="67" spans="1:22" s="2" customFormat="1" ht="12.75" customHeight="1">
      <c r="A67" s="124"/>
      <c r="B67" s="527" t="s">
        <v>12</v>
      </c>
      <c r="C67" s="427">
        <v>20000</v>
      </c>
      <c r="D67" s="398">
        <v>2635</v>
      </c>
      <c r="E67" s="439">
        <f>C67</f>
        <v>20000</v>
      </c>
      <c r="F67" s="439">
        <v>18863</v>
      </c>
      <c r="G67" s="398">
        <v>21000</v>
      </c>
      <c r="H67" s="398">
        <v>16</v>
      </c>
      <c r="I67" s="398"/>
      <c r="J67" s="757">
        <v>23100</v>
      </c>
      <c r="K67" s="757">
        <v>23100</v>
      </c>
      <c r="L67" s="757">
        <v>54</v>
      </c>
      <c r="M67" s="801">
        <f>L67/K67</f>
        <v>0.0023376623376623377</v>
      </c>
      <c r="N67" s="65"/>
      <c r="O67" s="69"/>
      <c r="P67" s="357"/>
      <c r="Q67" s="57"/>
      <c r="R67" s="16" t="s">
        <v>263</v>
      </c>
      <c r="S67" s="57"/>
      <c r="T67" s="69"/>
      <c r="U67" s="69"/>
      <c r="V67" s="69"/>
    </row>
    <row r="68" spans="1:22" s="2" customFormat="1" ht="12.75" customHeight="1">
      <c r="A68" s="124"/>
      <c r="B68" s="541" t="s">
        <v>4</v>
      </c>
      <c r="C68" s="542">
        <v>7365189</v>
      </c>
      <c r="D68" s="543">
        <v>6381243</v>
      </c>
      <c r="E68" s="544">
        <v>7425365</v>
      </c>
      <c r="F68" s="544">
        <v>7425365</v>
      </c>
      <c r="G68" s="543">
        <v>7742513</v>
      </c>
      <c r="H68" s="543">
        <v>3185395</v>
      </c>
      <c r="I68" s="543">
        <v>3822474</v>
      </c>
      <c r="J68" s="767">
        <v>8750524</v>
      </c>
      <c r="K68" s="767">
        <v>8750524</v>
      </c>
      <c r="L68" s="767">
        <f>2390983-L105</f>
        <v>2380983</v>
      </c>
      <c r="M68" s="807">
        <f>L68/K68</f>
        <v>0.27209604819094263</v>
      </c>
      <c r="N68" s="65"/>
      <c r="O68" s="69"/>
      <c r="P68" s="357"/>
      <c r="Q68" s="57"/>
      <c r="R68" s="16"/>
      <c r="S68" s="57"/>
      <c r="T68" s="69"/>
      <c r="U68" s="69"/>
      <c r="V68" s="5"/>
    </row>
    <row r="69" spans="1:22" s="2" customFormat="1" ht="12.75" customHeight="1">
      <c r="A69" s="124"/>
      <c r="B69" s="580" t="s">
        <v>266</v>
      </c>
      <c r="C69" s="581">
        <v>950000</v>
      </c>
      <c r="D69" s="582">
        <v>950000</v>
      </c>
      <c r="E69" s="583">
        <f>C69</f>
        <v>950000</v>
      </c>
      <c r="F69" s="583">
        <v>950000</v>
      </c>
      <c r="G69" s="582">
        <v>950000</v>
      </c>
      <c r="H69" s="582">
        <v>0</v>
      </c>
      <c r="I69" s="582"/>
      <c r="J69" s="768">
        <f>950000+140000</f>
        <v>1090000</v>
      </c>
      <c r="K69" s="768">
        <f>950000+140000</f>
        <v>1090000</v>
      </c>
      <c r="L69" s="768">
        <v>90000</v>
      </c>
      <c r="M69" s="808">
        <f aca="true" t="shared" si="5" ref="M69:M108">L69/K69</f>
        <v>0.08256880733944955</v>
      </c>
      <c r="N69" s="65"/>
      <c r="O69" s="69"/>
      <c r="P69" s="357"/>
      <c r="Q69" s="57"/>
      <c r="R69" s="16">
        <f>J69</f>
        <v>1090000</v>
      </c>
      <c r="S69" s="57"/>
      <c r="T69" s="69"/>
      <c r="U69" s="69"/>
      <c r="V69" s="69"/>
    </row>
    <row r="70" spans="1:22" s="2" customFormat="1" ht="12.75" customHeight="1" hidden="1">
      <c r="A70" s="124"/>
      <c r="B70" s="579" t="s">
        <v>311</v>
      </c>
      <c r="C70" s="576"/>
      <c r="D70" s="620"/>
      <c r="E70" s="578">
        <v>130000</v>
      </c>
      <c r="F70" s="578">
        <v>130000</v>
      </c>
      <c r="G70" s="620"/>
      <c r="H70" s="620"/>
      <c r="I70" s="620"/>
      <c r="J70" s="769"/>
      <c r="K70" s="769"/>
      <c r="L70" s="769"/>
      <c r="M70" s="808" t="e">
        <f t="shared" si="5"/>
        <v>#DIV/0!</v>
      </c>
      <c r="N70" s="65"/>
      <c r="O70" s="69"/>
      <c r="P70" s="357"/>
      <c r="Q70" s="57"/>
      <c r="S70" s="57"/>
      <c r="T70" s="69"/>
      <c r="U70" s="69"/>
      <c r="V70" s="69"/>
    </row>
    <row r="71" spans="1:22" s="2" customFormat="1" ht="12.75" customHeight="1" hidden="1">
      <c r="A71" s="124"/>
      <c r="B71" s="579" t="s">
        <v>309</v>
      </c>
      <c r="C71" s="576"/>
      <c r="D71" s="620"/>
      <c r="E71" s="578">
        <v>30000</v>
      </c>
      <c r="F71" s="578">
        <v>30000</v>
      </c>
      <c r="G71" s="620">
        <v>50000</v>
      </c>
      <c r="H71" s="620">
        <v>50000</v>
      </c>
      <c r="I71" s="620"/>
      <c r="J71" s="769"/>
      <c r="K71" s="769"/>
      <c r="L71" s="769"/>
      <c r="M71" s="808" t="e">
        <f t="shared" si="5"/>
        <v>#DIV/0!</v>
      </c>
      <c r="N71" s="65"/>
      <c r="O71" s="69"/>
      <c r="P71" s="357"/>
      <c r="Q71" s="57"/>
      <c r="R71" s="16"/>
      <c r="S71" s="57"/>
      <c r="T71" s="69"/>
      <c r="U71" s="69"/>
      <c r="V71" s="69"/>
    </row>
    <row r="72" spans="1:22" s="2" customFormat="1" ht="12.75" customHeight="1" hidden="1">
      <c r="A72" s="124"/>
      <c r="B72" s="579" t="s">
        <v>360</v>
      </c>
      <c r="C72" s="576"/>
      <c r="D72" s="620"/>
      <c r="E72" s="578"/>
      <c r="F72" s="578"/>
      <c r="G72" s="620"/>
      <c r="H72" s="620"/>
      <c r="I72" s="620">
        <v>50000</v>
      </c>
      <c r="J72" s="769"/>
      <c r="K72" s="769"/>
      <c r="L72" s="769"/>
      <c r="M72" s="808" t="e">
        <f t="shared" si="5"/>
        <v>#DIV/0!</v>
      </c>
      <c r="N72" s="65"/>
      <c r="O72" s="69"/>
      <c r="P72" s="357"/>
      <c r="Q72" s="57"/>
      <c r="R72" s="16"/>
      <c r="S72" s="57"/>
      <c r="T72" s="69"/>
      <c r="U72" s="69"/>
      <c r="V72" s="69"/>
    </row>
    <row r="73" spans="1:22" s="2" customFormat="1" ht="12.75" customHeight="1">
      <c r="A73" s="124"/>
      <c r="B73" s="584" t="s">
        <v>324</v>
      </c>
      <c r="C73" s="581"/>
      <c r="D73" s="582"/>
      <c r="E73" s="583"/>
      <c r="F73" s="583"/>
      <c r="G73" s="582">
        <v>50000</v>
      </c>
      <c r="H73" s="582"/>
      <c r="I73" s="582">
        <v>9000</v>
      </c>
      <c r="J73" s="768">
        <v>50000</v>
      </c>
      <c r="K73" s="768">
        <v>50000</v>
      </c>
      <c r="L73" s="768">
        <v>0</v>
      </c>
      <c r="M73" s="808">
        <f t="shared" si="5"/>
        <v>0</v>
      </c>
      <c r="N73" s="65"/>
      <c r="O73" s="69"/>
      <c r="P73" s="357"/>
      <c r="Q73" s="57"/>
      <c r="R73" s="16">
        <f>J73</f>
        <v>50000</v>
      </c>
      <c r="S73" s="57"/>
      <c r="T73" s="69"/>
      <c r="U73" s="69"/>
      <c r="V73" s="69"/>
    </row>
    <row r="74" spans="1:22" s="2" customFormat="1" ht="12.75" customHeight="1" hidden="1">
      <c r="A74" s="124"/>
      <c r="B74" s="585" t="s">
        <v>267</v>
      </c>
      <c r="C74" s="586">
        <v>402930</v>
      </c>
      <c r="D74" s="565">
        <v>340000</v>
      </c>
      <c r="E74" s="566">
        <v>510154</v>
      </c>
      <c r="F74" s="566">
        <v>510154</v>
      </c>
      <c r="G74" s="399"/>
      <c r="H74" s="399"/>
      <c r="I74" s="622"/>
      <c r="J74" s="770">
        <v>0</v>
      </c>
      <c r="K74" s="770">
        <v>0</v>
      </c>
      <c r="L74" s="770"/>
      <c r="M74" s="808" t="e">
        <f t="shared" si="5"/>
        <v>#DIV/0!</v>
      </c>
      <c r="N74" s="65"/>
      <c r="O74" s="69"/>
      <c r="P74" s="357"/>
      <c r="Q74" s="57"/>
      <c r="R74" s="16"/>
      <c r="S74" s="57"/>
      <c r="T74" s="69"/>
      <c r="U74" s="69"/>
      <c r="V74" s="69"/>
    </row>
    <row r="75" spans="1:22" s="2" customFormat="1" ht="12.75" customHeight="1" hidden="1">
      <c r="A75" s="124"/>
      <c r="B75" s="585" t="s">
        <v>296</v>
      </c>
      <c r="C75" s="586"/>
      <c r="D75" s="565">
        <v>55000</v>
      </c>
      <c r="E75" s="439"/>
      <c r="F75" s="439"/>
      <c r="G75" s="399"/>
      <c r="H75" s="399"/>
      <c r="I75" s="399"/>
      <c r="J75" s="770"/>
      <c r="K75" s="770"/>
      <c r="L75" s="770"/>
      <c r="M75" s="808" t="e">
        <f t="shared" si="5"/>
        <v>#DIV/0!</v>
      </c>
      <c r="N75" s="65"/>
      <c r="O75" s="69"/>
      <c r="P75" s="357"/>
      <c r="Q75" s="57"/>
      <c r="R75" s="16"/>
      <c r="S75" s="57"/>
      <c r="T75" s="69"/>
      <c r="U75" s="69"/>
      <c r="V75" s="69"/>
    </row>
    <row r="76" spans="1:19" s="2" customFormat="1" ht="12.75" customHeight="1">
      <c r="A76" s="124"/>
      <c r="B76" s="588" t="s">
        <v>325</v>
      </c>
      <c r="C76" s="567">
        <v>30000</v>
      </c>
      <c r="D76" s="565">
        <v>42000</v>
      </c>
      <c r="E76" s="566">
        <f>C76</f>
        <v>30000</v>
      </c>
      <c r="F76" s="566">
        <v>30000</v>
      </c>
      <c r="G76" s="565">
        <v>30000</v>
      </c>
      <c r="H76" s="565"/>
      <c r="I76" s="565"/>
      <c r="J76" s="771">
        <v>30000</v>
      </c>
      <c r="K76" s="771">
        <v>30000</v>
      </c>
      <c r="L76" s="771">
        <v>0</v>
      </c>
      <c r="M76" s="808">
        <f t="shared" si="5"/>
        <v>0</v>
      </c>
      <c r="N76" s="65"/>
      <c r="O76" s="69"/>
      <c r="P76" s="357"/>
      <c r="Q76" s="57"/>
      <c r="R76" s="16">
        <f aca="true" t="shared" si="6" ref="R76:R107">J76</f>
        <v>30000</v>
      </c>
      <c r="S76" s="57"/>
    </row>
    <row r="77" spans="1:19" s="2" customFormat="1" ht="12.75" customHeight="1" hidden="1">
      <c r="A77" s="124"/>
      <c r="B77" s="588" t="s">
        <v>295</v>
      </c>
      <c r="C77" s="567"/>
      <c r="D77" s="565">
        <v>30000</v>
      </c>
      <c r="E77" s="439"/>
      <c r="F77" s="439"/>
      <c r="G77" s="399"/>
      <c r="H77" s="399"/>
      <c r="I77" s="399"/>
      <c r="J77" s="770"/>
      <c r="K77" s="770"/>
      <c r="L77" s="770"/>
      <c r="M77" s="808" t="e">
        <f t="shared" si="5"/>
        <v>#DIV/0!</v>
      </c>
      <c r="N77" s="65"/>
      <c r="O77" s="69"/>
      <c r="P77" s="357"/>
      <c r="Q77" s="57"/>
      <c r="R77" s="16"/>
      <c r="S77" s="57"/>
    </row>
    <row r="78" spans="1:19" s="2" customFormat="1" ht="12.75" customHeight="1">
      <c r="A78" s="124"/>
      <c r="B78" s="589" t="s">
        <v>351</v>
      </c>
      <c r="C78" s="586">
        <v>40000</v>
      </c>
      <c r="D78" s="565">
        <v>40000</v>
      </c>
      <c r="E78" s="566">
        <f>C78</f>
        <v>40000</v>
      </c>
      <c r="F78" s="566">
        <v>40000</v>
      </c>
      <c r="G78" s="565">
        <v>60000</v>
      </c>
      <c r="H78" s="565"/>
      <c r="I78" s="565">
        <v>12000</v>
      </c>
      <c r="J78" s="771">
        <f>60000-30000</f>
        <v>30000</v>
      </c>
      <c r="K78" s="771">
        <f>60000-30000</f>
        <v>30000</v>
      </c>
      <c r="L78" s="771">
        <v>0</v>
      </c>
      <c r="M78" s="808">
        <f t="shared" si="5"/>
        <v>0</v>
      </c>
      <c r="N78" s="65"/>
      <c r="O78" s="69"/>
      <c r="P78" s="357"/>
      <c r="Q78" s="57"/>
      <c r="R78" s="16">
        <f t="shared" si="6"/>
        <v>30000</v>
      </c>
      <c r="S78" s="57"/>
    </row>
    <row r="79" spans="1:19" s="2" customFormat="1" ht="12.75" customHeight="1">
      <c r="A79" s="124"/>
      <c r="B79" s="590" t="s">
        <v>265</v>
      </c>
      <c r="C79" s="586">
        <v>40000</v>
      </c>
      <c r="D79" s="565">
        <v>40000</v>
      </c>
      <c r="E79" s="566">
        <v>10155</v>
      </c>
      <c r="F79" s="566">
        <v>10155</v>
      </c>
      <c r="G79" s="565">
        <v>25000</v>
      </c>
      <c r="H79" s="565"/>
      <c r="I79" s="565"/>
      <c r="J79" s="771">
        <v>10000</v>
      </c>
      <c r="K79" s="771">
        <v>10000</v>
      </c>
      <c r="L79" s="771">
        <v>10000</v>
      </c>
      <c r="M79" s="808">
        <f t="shared" si="5"/>
        <v>1</v>
      </c>
      <c r="N79" s="65"/>
      <c r="O79" s="69"/>
      <c r="P79" s="357"/>
      <c r="Q79" s="57"/>
      <c r="R79" s="16">
        <f t="shared" si="6"/>
        <v>10000</v>
      </c>
      <c r="S79" s="57"/>
    </row>
    <row r="80" spans="1:19" s="2" customFormat="1" ht="12.75" customHeight="1">
      <c r="A80" s="124"/>
      <c r="B80" s="590" t="s">
        <v>270</v>
      </c>
      <c r="C80" s="586">
        <v>120000</v>
      </c>
      <c r="D80" s="565">
        <v>135000</v>
      </c>
      <c r="E80" s="566">
        <v>114932</v>
      </c>
      <c r="F80" s="566">
        <v>114932</v>
      </c>
      <c r="G80" s="565">
        <v>130000</v>
      </c>
      <c r="H80" s="565"/>
      <c r="I80" s="565"/>
      <c r="J80" s="771">
        <v>130000</v>
      </c>
      <c r="K80" s="771">
        <v>130000</v>
      </c>
      <c r="L80" s="771">
        <v>0</v>
      </c>
      <c r="M80" s="808">
        <f t="shared" si="5"/>
        <v>0</v>
      </c>
      <c r="N80" s="65"/>
      <c r="O80" s="69"/>
      <c r="P80" s="357"/>
      <c r="Q80" s="57"/>
      <c r="R80" s="16">
        <f t="shared" si="6"/>
        <v>130000</v>
      </c>
      <c r="S80" s="57"/>
    </row>
    <row r="81" spans="1:19" s="2" customFormat="1" ht="12.75" customHeight="1">
      <c r="A81" s="124"/>
      <c r="B81" s="590" t="s">
        <v>271</v>
      </c>
      <c r="C81" s="586">
        <v>60000</v>
      </c>
      <c r="D81" s="565">
        <v>60000</v>
      </c>
      <c r="E81" s="566">
        <v>20796</v>
      </c>
      <c r="F81" s="566">
        <v>20796</v>
      </c>
      <c r="G81" s="565">
        <v>30000</v>
      </c>
      <c r="H81" s="565">
        <v>25000</v>
      </c>
      <c r="I81" s="565">
        <v>25000</v>
      </c>
      <c r="J81" s="771">
        <v>30000</v>
      </c>
      <c r="K81" s="771">
        <v>30000</v>
      </c>
      <c r="L81" s="771">
        <v>30000</v>
      </c>
      <c r="M81" s="808">
        <f t="shared" si="5"/>
        <v>1</v>
      </c>
      <c r="N81" s="65"/>
      <c r="O81" s="69"/>
      <c r="P81" s="357"/>
      <c r="Q81" s="57"/>
      <c r="R81" s="16">
        <f t="shared" si="6"/>
        <v>30000</v>
      </c>
      <c r="S81" s="57"/>
    </row>
    <row r="82" spans="1:19" s="2" customFormat="1" ht="12.75" customHeight="1" hidden="1">
      <c r="A82" s="124"/>
      <c r="B82" s="590" t="s">
        <v>297</v>
      </c>
      <c r="C82" s="586"/>
      <c r="D82" s="565">
        <v>20000</v>
      </c>
      <c r="E82" s="439"/>
      <c r="F82" s="439"/>
      <c r="G82" s="399"/>
      <c r="H82" s="399"/>
      <c r="I82" s="399"/>
      <c r="J82" s="770"/>
      <c r="K82" s="770"/>
      <c r="L82" s="770"/>
      <c r="M82" s="808" t="e">
        <f t="shared" si="5"/>
        <v>#DIV/0!</v>
      </c>
      <c r="N82" s="65"/>
      <c r="O82" s="69"/>
      <c r="P82" s="357"/>
      <c r="Q82" s="57"/>
      <c r="R82" s="16"/>
      <c r="S82" s="57"/>
    </row>
    <row r="83" spans="1:19" s="2" customFormat="1" ht="12.75" customHeight="1">
      <c r="A83" s="124"/>
      <c r="B83" s="590" t="s">
        <v>272</v>
      </c>
      <c r="C83" s="586">
        <v>15000</v>
      </c>
      <c r="D83" s="565">
        <v>15000</v>
      </c>
      <c r="E83" s="566">
        <v>14881</v>
      </c>
      <c r="F83" s="566">
        <v>14881</v>
      </c>
      <c r="G83" s="565">
        <v>15000</v>
      </c>
      <c r="H83" s="565"/>
      <c r="I83" s="565"/>
      <c r="J83" s="771">
        <v>15000</v>
      </c>
      <c r="K83" s="771">
        <v>15000</v>
      </c>
      <c r="L83" s="771">
        <v>0</v>
      </c>
      <c r="M83" s="808">
        <f t="shared" si="5"/>
        <v>0</v>
      </c>
      <c r="N83" s="65"/>
      <c r="O83" s="69"/>
      <c r="P83" s="357"/>
      <c r="Q83" s="57"/>
      <c r="R83" s="16">
        <f t="shared" si="6"/>
        <v>15000</v>
      </c>
      <c r="S83" s="57"/>
    </row>
    <row r="84" spans="1:19" s="2" customFormat="1" ht="12.75" customHeight="1" hidden="1">
      <c r="A84" s="124"/>
      <c r="B84" s="590" t="s">
        <v>273</v>
      </c>
      <c r="C84" s="586"/>
      <c r="D84" s="565">
        <v>45000</v>
      </c>
      <c r="E84" s="439"/>
      <c r="F84" s="439"/>
      <c r="G84" s="399"/>
      <c r="H84" s="399"/>
      <c r="I84" s="399"/>
      <c r="J84" s="770"/>
      <c r="K84" s="770"/>
      <c r="L84" s="770"/>
      <c r="M84" s="808" t="e">
        <f t="shared" si="5"/>
        <v>#DIV/0!</v>
      </c>
      <c r="N84" s="65"/>
      <c r="O84" s="69"/>
      <c r="P84" s="357"/>
      <c r="Q84" s="57"/>
      <c r="R84" s="16"/>
      <c r="S84" s="57"/>
    </row>
    <row r="85" spans="1:19" s="2" customFormat="1" ht="12.75" customHeight="1">
      <c r="A85" s="124"/>
      <c r="B85" s="590" t="s">
        <v>274</v>
      </c>
      <c r="C85" s="586">
        <v>50000</v>
      </c>
      <c r="D85" s="565">
        <v>20000</v>
      </c>
      <c r="E85" s="566">
        <v>7767</v>
      </c>
      <c r="F85" s="566">
        <v>7767</v>
      </c>
      <c r="G85" s="565">
        <v>20000</v>
      </c>
      <c r="H85" s="565"/>
      <c r="I85" s="565"/>
      <c r="J85" s="771">
        <v>20000</v>
      </c>
      <c r="K85" s="771">
        <v>20000</v>
      </c>
      <c r="L85" s="771">
        <v>0</v>
      </c>
      <c r="M85" s="808">
        <f t="shared" si="5"/>
        <v>0</v>
      </c>
      <c r="N85" s="65"/>
      <c r="O85" s="69"/>
      <c r="P85" s="357"/>
      <c r="Q85" s="57"/>
      <c r="R85" s="16">
        <f t="shared" si="6"/>
        <v>20000</v>
      </c>
      <c r="S85" s="57"/>
    </row>
    <row r="86" spans="1:19" s="2" customFormat="1" ht="12.75" customHeight="1">
      <c r="A86" s="124"/>
      <c r="B86" s="590" t="s">
        <v>275</v>
      </c>
      <c r="C86" s="581">
        <v>30000</v>
      </c>
      <c r="D86" s="582">
        <v>30000</v>
      </c>
      <c r="E86" s="583">
        <f>C86</f>
        <v>30000</v>
      </c>
      <c r="F86" s="583">
        <v>30000</v>
      </c>
      <c r="G86" s="582">
        <v>20000</v>
      </c>
      <c r="H86" s="582">
        <v>10000</v>
      </c>
      <c r="I86" s="565">
        <v>10000</v>
      </c>
      <c r="J86" s="771">
        <v>20000</v>
      </c>
      <c r="K86" s="771">
        <v>20000</v>
      </c>
      <c r="L86" s="771">
        <v>20000</v>
      </c>
      <c r="M86" s="808">
        <f t="shared" si="5"/>
        <v>1</v>
      </c>
      <c r="N86" s="65"/>
      <c r="O86" s="69"/>
      <c r="P86" s="357"/>
      <c r="Q86" s="57"/>
      <c r="R86" s="16">
        <f t="shared" si="6"/>
        <v>20000</v>
      </c>
      <c r="S86" s="57"/>
    </row>
    <row r="87" spans="1:19" s="2" customFormat="1" ht="12.75" customHeight="1">
      <c r="A87" s="124"/>
      <c r="B87" s="590" t="s">
        <v>276</v>
      </c>
      <c r="C87" s="581">
        <v>80000</v>
      </c>
      <c r="D87" s="582">
        <v>75000</v>
      </c>
      <c r="E87" s="583">
        <v>184524</v>
      </c>
      <c r="F87" s="583">
        <v>184524</v>
      </c>
      <c r="G87" s="582">
        <v>280000</v>
      </c>
      <c r="H87" s="582">
        <v>140000</v>
      </c>
      <c r="I87" s="565">
        <v>280000</v>
      </c>
      <c r="J87" s="771">
        <v>180000</v>
      </c>
      <c r="K87" s="771">
        <v>180000</v>
      </c>
      <c r="L87" s="771">
        <v>0</v>
      </c>
      <c r="M87" s="808">
        <f t="shared" si="5"/>
        <v>0</v>
      </c>
      <c r="N87" s="65"/>
      <c r="O87" s="69"/>
      <c r="P87" s="357"/>
      <c r="Q87" s="57"/>
      <c r="R87" s="16">
        <f t="shared" si="6"/>
        <v>180000</v>
      </c>
      <c r="S87" s="57"/>
    </row>
    <row r="88" spans="1:19" s="2" customFormat="1" ht="12.75" customHeight="1" hidden="1">
      <c r="A88" s="124"/>
      <c r="B88" s="579" t="s">
        <v>178</v>
      </c>
      <c r="C88" s="576"/>
      <c r="D88" s="620"/>
      <c r="E88" s="578">
        <v>50000</v>
      </c>
      <c r="F88" s="578">
        <v>50000</v>
      </c>
      <c r="G88" s="620"/>
      <c r="H88" s="620"/>
      <c r="I88" s="399"/>
      <c r="J88" s="770"/>
      <c r="K88" s="770"/>
      <c r="L88" s="770"/>
      <c r="M88" s="808" t="e">
        <f t="shared" si="5"/>
        <v>#DIV/0!</v>
      </c>
      <c r="N88" s="65"/>
      <c r="O88" s="69"/>
      <c r="P88" s="357"/>
      <c r="Q88" s="57"/>
      <c r="R88" s="16"/>
      <c r="S88" s="57"/>
    </row>
    <row r="89" spans="1:19" s="2" customFormat="1" ht="12.75" customHeight="1">
      <c r="A89" s="124"/>
      <c r="B89" s="584" t="s">
        <v>277</v>
      </c>
      <c r="C89" s="581">
        <v>50000</v>
      </c>
      <c r="D89" s="582"/>
      <c r="E89" s="583">
        <f>C89</f>
        <v>50000</v>
      </c>
      <c r="F89" s="583">
        <v>50000</v>
      </c>
      <c r="G89" s="582">
        <v>40500</v>
      </c>
      <c r="H89" s="582">
        <v>50000</v>
      </c>
      <c r="I89" s="565">
        <v>50000</v>
      </c>
      <c r="J89" s="771">
        <v>50000</v>
      </c>
      <c r="K89" s="771">
        <v>50000</v>
      </c>
      <c r="L89" s="771">
        <v>50000</v>
      </c>
      <c r="M89" s="808">
        <f t="shared" si="5"/>
        <v>1</v>
      </c>
      <c r="N89" s="65"/>
      <c r="O89" s="69"/>
      <c r="P89" s="357"/>
      <c r="Q89" s="57"/>
      <c r="R89" s="16">
        <f t="shared" si="6"/>
        <v>50000</v>
      </c>
      <c r="S89" s="57"/>
    </row>
    <row r="90" spans="1:19" s="2" customFormat="1" ht="12.75" customHeight="1">
      <c r="A90" s="124"/>
      <c r="B90" s="584" t="s">
        <v>278</v>
      </c>
      <c r="C90" s="581"/>
      <c r="D90" s="582"/>
      <c r="E90" s="583"/>
      <c r="F90" s="583"/>
      <c r="G90" s="582">
        <v>0</v>
      </c>
      <c r="H90" s="582">
        <v>50000</v>
      </c>
      <c r="I90" s="565">
        <v>50000</v>
      </c>
      <c r="J90" s="771">
        <v>30000</v>
      </c>
      <c r="K90" s="771">
        <v>30000</v>
      </c>
      <c r="L90" s="771">
        <v>30000</v>
      </c>
      <c r="M90" s="808">
        <f t="shared" si="5"/>
        <v>1</v>
      </c>
      <c r="N90" s="65"/>
      <c r="O90" s="69"/>
      <c r="P90" s="357"/>
      <c r="Q90" s="57"/>
      <c r="R90" s="16">
        <f t="shared" si="6"/>
        <v>30000</v>
      </c>
      <c r="S90" s="57"/>
    </row>
    <row r="91" spans="1:19" s="2" customFormat="1" ht="12.75" customHeight="1" hidden="1">
      <c r="A91" s="124"/>
      <c r="B91" s="584" t="s">
        <v>279</v>
      </c>
      <c r="C91" s="581">
        <v>20000</v>
      </c>
      <c r="D91" s="582">
        <v>20000</v>
      </c>
      <c r="E91" s="583">
        <f>C91</f>
        <v>20000</v>
      </c>
      <c r="F91" s="583">
        <v>20000</v>
      </c>
      <c r="G91" s="620"/>
      <c r="H91" s="620"/>
      <c r="I91" s="399"/>
      <c r="J91" s="770"/>
      <c r="K91" s="770"/>
      <c r="L91" s="770"/>
      <c r="M91" s="808" t="e">
        <f t="shared" si="5"/>
        <v>#DIV/0!</v>
      </c>
      <c r="N91" s="65"/>
      <c r="O91" s="69"/>
      <c r="P91" s="357"/>
      <c r="Q91" s="57"/>
      <c r="R91" s="16"/>
      <c r="S91" s="57"/>
    </row>
    <row r="92" spans="1:19" s="2" customFormat="1" ht="12.75" customHeight="1">
      <c r="A92" s="124"/>
      <c r="B92" s="584" t="s">
        <v>280</v>
      </c>
      <c r="C92" s="581">
        <v>370000</v>
      </c>
      <c r="D92" s="582">
        <v>207999</v>
      </c>
      <c r="E92" s="583">
        <f>C92</f>
        <v>370000</v>
      </c>
      <c r="F92" s="583">
        <v>370000</v>
      </c>
      <c r="G92" s="582">
        <v>370000</v>
      </c>
      <c r="H92" s="582"/>
      <c r="I92" s="565"/>
      <c r="J92" s="771">
        <v>270000</v>
      </c>
      <c r="K92" s="771">
        <v>270000</v>
      </c>
      <c r="L92" s="771">
        <v>0</v>
      </c>
      <c r="M92" s="808">
        <f t="shared" si="5"/>
        <v>0</v>
      </c>
      <c r="N92" s="65"/>
      <c r="O92" s="69"/>
      <c r="P92" s="357"/>
      <c r="Q92" s="57"/>
      <c r="R92" s="16">
        <f t="shared" si="6"/>
        <v>270000</v>
      </c>
      <c r="S92" s="57"/>
    </row>
    <row r="93" spans="1:19" s="2" customFormat="1" ht="12.75" customHeight="1">
      <c r="A93" s="124"/>
      <c r="B93" s="584" t="s">
        <v>281</v>
      </c>
      <c r="C93" s="581">
        <v>20000</v>
      </c>
      <c r="D93" s="582">
        <v>8000</v>
      </c>
      <c r="E93" s="583">
        <v>0</v>
      </c>
      <c r="F93" s="583">
        <v>0</v>
      </c>
      <c r="G93" s="582">
        <v>20000</v>
      </c>
      <c r="H93" s="582"/>
      <c r="I93" s="565"/>
      <c r="J93" s="771">
        <v>20000</v>
      </c>
      <c r="K93" s="771">
        <v>20000</v>
      </c>
      <c r="L93" s="771">
        <v>0</v>
      </c>
      <c r="M93" s="808">
        <f t="shared" si="5"/>
        <v>0</v>
      </c>
      <c r="N93" s="65"/>
      <c r="O93" s="69"/>
      <c r="P93" s="357"/>
      <c r="Q93" s="57"/>
      <c r="R93" s="16">
        <f t="shared" si="6"/>
        <v>20000</v>
      </c>
      <c r="S93" s="57"/>
    </row>
    <row r="94" spans="1:19" s="2" customFormat="1" ht="12.75" customHeight="1">
      <c r="A94" s="124"/>
      <c r="B94" s="584" t="s">
        <v>282</v>
      </c>
      <c r="C94" s="581">
        <v>50000</v>
      </c>
      <c r="D94" s="582">
        <v>12001</v>
      </c>
      <c r="E94" s="583">
        <v>34336</v>
      </c>
      <c r="F94" s="583">
        <v>34336</v>
      </c>
      <c r="G94" s="582">
        <v>50000</v>
      </c>
      <c r="H94" s="582"/>
      <c r="I94" s="565"/>
      <c r="J94" s="771">
        <f>50000-5000</f>
        <v>45000</v>
      </c>
      <c r="K94" s="771">
        <f>50000-5000</f>
        <v>45000</v>
      </c>
      <c r="L94" s="771">
        <v>0</v>
      </c>
      <c r="M94" s="808">
        <f t="shared" si="5"/>
        <v>0</v>
      </c>
      <c r="N94" s="65"/>
      <c r="O94" s="69"/>
      <c r="P94" s="357"/>
      <c r="Q94" s="57"/>
      <c r="R94" s="16">
        <f t="shared" si="6"/>
        <v>45000</v>
      </c>
      <c r="S94" s="57"/>
    </row>
    <row r="95" spans="1:19" s="2" customFormat="1" ht="12.75" customHeight="1" hidden="1">
      <c r="A95" s="124"/>
      <c r="B95" s="579" t="s">
        <v>183</v>
      </c>
      <c r="C95" s="576"/>
      <c r="D95" s="620"/>
      <c r="E95" s="578">
        <v>10000</v>
      </c>
      <c r="F95" s="578">
        <v>10000</v>
      </c>
      <c r="G95" s="620"/>
      <c r="H95" s="620"/>
      <c r="I95" s="399"/>
      <c r="J95" s="770"/>
      <c r="K95" s="770"/>
      <c r="L95" s="770"/>
      <c r="M95" s="808" t="e">
        <f t="shared" si="5"/>
        <v>#DIV/0!</v>
      </c>
      <c r="N95" s="65"/>
      <c r="O95" s="69"/>
      <c r="P95" s="357"/>
      <c r="Q95" s="57"/>
      <c r="R95" s="16"/>
      <c r="S95" s="57"/>
    </row>
    <row r="96" spans="1:19" s="2" customFormat="1" ht="12.75" customHeight="1">
      <c r="A96" s="124"/>
      <c r="B96" s="584" t="s">
        <v>327</v>
      </c>
      <c r="C96" s="581">
        <v>20000</v>
      </c>
      <c r="D96" s="582">
        <v>20000</v>
      </c>
      <c r="E96" s="583">
        <f>C96</f>
        <v>20000</v>
      </c>
      <c r="F96" s="583">
        <v>20000</v>
      </c>
      <c r="G96" s="582">
        <v>20000</v>
      </c>
      <c r="H96" s="582">
        <v>20000</v>
      </c>
      <c r="I96" s="565">
        <v>20000</v>
      </c>
      <c r="J96" s="771">
        <v>10000</v>
      </c>
      <c r="K96" s="771">
        <v>10000</v>
      </c>
      <c r="L96" s="771">
        <v>0</v>
      </c>
      <c r="M96" s="808">
        <f t="shared" si="5"/>
        <v>0</v>
      </c>
      <c r="N96" s="65"/>
      <c r="O96" s="69"/>
      <c r="P96" s="357"/>
      <c r="Q96" s="57"/>
      <c r="R96" s="16">
        <f t="shared" si="6"/>
        <v>10000</v>
      </c>
      <c r="S96" s="57"/>
    </row>
    <row r="97" spans="1:19" s="2" customFormat="1" ht="12.75" customHeight="1">
      <c r="A97" s="124"/>
      <c r="B97" s="584" t="s">
        <v>321</v>
      </c>
      <c r="C97" s="581"/>
      <c r="D97" s="582"/>
      <c r="E97" s="583"/>
      <c r="F97" s="583"/>
      <c r="G97" s="582">
        <v>210000</v>
      </c>
      <c r="H97" s="582"/>
      <c r="I97" s="587">
        <v>210000</v>
      </c>
      <c r="J97" s="771">
        <v>100000</v>
      </c>
      <c r="K97" s="771">
        <v>100000</v>
      </c>
      <c r="L97" s="771">
        <v>0</v>
      </c>
      <c r="M97" s="808">
        <f t="shared" si="5"/>
        <v>0</v>
      </c>
      <c r="N97" s="65"/>
      <c r="O97" s="69"/>
      <c r="P97" s="357"/>
      <c r="Q97" s="57"/>
      <c r="R97" s="16">
        <f>J97</f>
        <v>100000</v>
      </c>
      <c r="S97" s="57"/>
    </row>
    <row r="98" spans="1:19" s="2" customFormat="1" ht="12.75" customHeight="1">
      <c r="A98" s="124"/>
      <c r="B98" s="584" t="s">
        <v>320</v>
      </c>
      <c r="C98" s="581"/>
      <c r="D98" s="582"/>
      <c r="E98" s="594">
        <v>40000</v>
      </c>
      <c r="F98" s="594">
        <v>40000</v>
      </c>
      <c r="G98" s="582">
        <v>50000</v>
      </c>
      <c r="H98" s="582"/>
      <c r="I98" s="587">
        <v>0</v>
      </c>
      <c r="J98" s="771">
        <v>50000</v>
      </c>
      <c r="K98" s="771">
        <v>50000</v>
      </c>
      <c r="L98" s="771">
        <v>0</v>
      </c>
      <c r="M98" s="808">
        <f t="shared" si="5"/>
        <v>0</v>
      </c>
      <c r="N98" s="65"/>
      <c r="O98" s="69"/>
      <c r="P98" s="357"/>
      <c r="Q98" s="57"/>
      <c r="R98" s="16">
        <f>J98</f>
        <v>50000</v>
      </c>
      <c r="S98" s="57"/>
    </row>
    <row r="99" spans="1:19" s="2" customFormat="1" ht="12.75" customHeight="1" hidden="1">
      <c r="A99" s="124"/>
      <c r="B99" s="579" t="s">
        <v>312</v>
      </c>
      <c r="C99" s="576"/>
      <c r="D99" s="620"/>
      <c r="E99" s="621">
        <v>15000</v>
      </c>
      <c r="F99" s="621">
        <v>15000</v>
      </c>
      <c r="G99" s="620"/>
      <c r="H99" s="620"/>
      <c r="I99" s="622"/>
      <c r="J99" s="770"/>
      <c r="K99" s="770"/>
      <c r="L99" s="770"/>
      <c r="M99" s="808" t="e">
        <f t="shared" si="5"/>
        <v>#DIV/0!</v>
      </c>
      <c r="N99" s="65"/>
      <c r="O99" s="69"/>
      <c r="P99" s="357"/>
      <c r="Q99" s="57"/>
      <c r="R99" s="16"/>
      <c r="S99" s="57"/>
    </row>
    <row r="100" spans="1:19" s="2" customFormat="1" ht="12.75" customHeight="1" hidden="1">
      <c r="A100" s="124"/>
      <c r="B100" s="584" t="s">
        <v>284</v>
      </c>
      <c r="C100" s="581"/>
      <c r="D100" s="582"/>
      <c r="E100" s="594"/>
      <c r="F100" s="594"/>
      <c r="G100" s="582"/>
      <c r="H100" s="582"/>
      <c r="I100" s="587"/>
      <c r="J100" s="771"/>
      <c r="K100" s="771"/>
      <c r="L100" s="771"/>
      <c r="M100" s="808" t="e">
        <f t="shared" si="5"/>
        <v>#DIV/0!</v>
      </c>
      <c r="N100" s="65"/>
      <c r="O100" s="69"/>
      <c r="P100" s="357"/>
      <c r="Q100" s="57"/>
      <c r="R100" s="16">
        <f t="shared" si="6"/>
        <v>0</v>
      </c>
      <c r="S100" s="57"/>
    </row>
    <row r="101" spans="1:19" s="2" customFormat="1" ht="12.75" customHeight="1" hidden="1">
      <c r="A101" s="124"/>
      <c r="B101" s="625" t="s">
        <v>256</v>
      </c>
      <c r="C101" s="624"/>
      <c r="D101" s="626"/>
      <c r="E101" s="627"/>
      <c r="F101" s="627"/>
      <c r="G101" s="626"/>
      <c r="H101" s="626"/>
      <c r="I101" s="626"/>
      <c r="J101" s="772">
        <v>0</v>
      </c>
      <c r="K101" s="772">
        <v>0</v>
      </c>
      <c r="L101" s="772"/>
      <c r="M101" s="808" t="e">
        <f t="shared" si="5"/>
        <v>#DIV/0!</v>
      </c>
      <c r="N101" s="65"/>
      <c r="O101" s="69"/>
      <c r="P101" s="357"/>
      <c r="Q101" s="57"/>
      <c r="R101" s="16">
        <f t="shared" si="6"/>
        <v>0</v>
      </c>
      <c r="S101" s="57"/>
    </row>
    <row r="102" spans="1:19" s="2" customFormat="1" ht="12.75" customHeight="1" hidden="1">
      <c r="A102" s="124"/>
      <c r="B102" s="584" t="s">
        <v>285</v>
      </c>
      <c r="C102" s="581"/>
      <c r="D102" s="582"/>
      <c r="E102" s="594"/>
      <c r="F102" s="594"/>
      <c r="G102" s="582">
        <v>90000</v>
      </c>
      <c r="H102" s="620"/>
      <c r="I102" s="622"/>
      <c r="J102" s="770"/>
      <c r="K102" s="770"/>
      <c r="L102" s="770"/>
      <c r="M102" s="808" t="e">
        <f t="shared" si="5"/>
        <v>#DIV/0!</v>
      </c>
      <c r="N102" s="65"/>
      <c r="O102" s="69"/>
      <c r="P102" s="357"/>
      <c r="Q102" s="57"/>
      <c r="R102" s="16">
        <f t="shared" si="6"/>
        <v>0</v>
      </c>
      <c r="S102" s="57"/>
    </row>
    <row r="103" spans="1:19" s="2" customFormat="1" ht="12.75" customHeight="1">
      <c r="A103" s="124"/>
      <c r="B103" s="584" t="s">
        <v>319</v>
      </c>
      <c r="C103" s="581"/>
      <c r="D103" s="582"/>
      <c r="E103" s="594"/>
      <c r="F103" s="594"/>
      <c r="G103" s="582">
        <v>50000</v>
      </c>
      <c r="H103" s="582">
        <v>10000</v>
      </c>
      <c r="I103" s="587">
        <v>22000</v>
      </c>
      <c r="J103" s="771">
        <v>50000</v>
      </c>
      <c r="K103" s="771">
        <v>50000</v>
      </c>
      <c r="L103" s="771">
        <v>0</v>
      </c>
      <c r="M103" s="808">
        <f t="shared" si="5"/>
        <v>0</v>
      </c>
      <c r="N103" s="65"/>
      <c r="O103" s="69"/>
      <c r="P103" s="357"/>
      <c r="Q103" s="57"/>
      <c r="R103" s="16">
        <f t="shared" si="6"/>
        <v>50000</v>
      </c>
      <c r="S103" s="57"/>
    </row>
    <row r="104" spans="1:19" s="2" customFormat="1" ht="12.75" customHeight="1">
      <c r="A104" s="124"/>
      <c r="B104" s="589" t="s">
        <v>326</v>
      </c>
      <c r="C104" s="824"/>
      <c r="D104" s="565"/>
      <c r="E104" s="825"/>
      <c r="F104" s="825"/>
      <c r="G104" s="565"/>
      <c r="H104" s="565"/>
      <c r="I104" s="565"/>
      <c r="J104" s="771">
        <v>20000</v>
      </c>
      <c r="K104" s="771">
        <v>20000</v>
      </c>
      <c r="L104" s="771">
        <v>20000</v>
      </c>
      <c r="M104" s="808">
        <f t="shared" si="5"/>
        <v>1</v>
      </c>
      <c r="N104" s="65"/>
      <c r="O104" s="69"/>
      <c r="P104" s="357"/>
      <c r="Q104" s="57"/>
      <c r="R104" s="16">
        <f t="shared" si="6"/>
        <v>20000</v>
      </c>
      <c r="S104" s="57"/>
    </row>
    <row r="105" spans="1:19" s="2" customFormat="1" ht="12.75" customHeight="1">
      <c r="A105" s="124"/>
      <c r="B105" s="589" t="s">
        <v>328</v>
      </c>
      <c r="C105" s="824"/>
      <c r="D105" s="565"/>
      <c r="E105" s="825"/>
      <c r="F105" s="825"/>
      <c r="G105" s="565"/>
      <c r="H105" s="565"/>
      <c r="I105" s="565"/>
      <c r="J105" s="771">
        <v>10000</v>
      </c>
      <c r="K105" s="771">
        <v>10000</v>
      </c>
      <c r="L105" s="771">
        <v>10000</v>
      </c>
      <c r="M105" s="808">
        <f t="shared" si="5"/>
        <v>1</v>
      </c>
      <c r="N105" s="65"/>
      <c r="O105" s="69"/>
      <c r="P105" s="357"/>
      <c r="Q105" s="57"/>
      <c r="R105" s="16">
        <f t="shared" si="6"/>
        <v>10000</v>
      </c>
      <c r="S105" s="57"/>
    </row>
    <row r="106" spans="1:19" s="2" customFormat="1" ht="12.75" customHeight="1">
      <c r="A106" s="124"/>
      <c r="B106" s="797" t="s">
        <v>365</v>
      </c>
      <c r="C106" s="824"/>
      <c r="D106" s="565"/>
      <c r="E106" s="825"/>
      <c r="F106" s="825"/>
      <c r="G106" s="565"/>
      <c r="H106" s="565"/>
      <c r="I106" s="565"/>
      <c r="J106" s="771">
        <v>50000</v>
      </c>
      <c r="K106" s="771">
        <v>50000</v>
      </c>
      <c r="L106" s="771">
        <v>0</v>
      </c>
      <c r="M106" s="808">
        <f t="shared" si="5"/>
        <v>0</v>
      </c>
      <c r="N106" s="65"/>
      <c r="O106" s="69"/>
      <c r="P106" s="357"/>
      <c r="Q106" s="57"/>
      <c r="R106" s="16">
        <f t="shared" si="6"/>
        <v>50000</v>
      </c>
      <c r="S106" s="57"/>
    </row>
    <row r="107" spans="1:19" s="2" customFormat="1" ht="12.75" customHeight="1">
      <c r="A107" s="124"/>
      <c r="B107" s="797" t="s">
        <v>364</v>
      </c>
      <c r="C107" s="824"/>
      <c r="D107" s="565"/>
      <c r="E107" s="825"/>
      <c r="F107" s="825"/>
      <c r="G107" s="565"/>
      <c r="H107" s="565"/>
      <c r="I107" s="565"/>
      <c r="J107" s="771">
        <v>50000</v>
      </c>
      <c r="K107" s="771">
        <v>50000</v>
      </c>
      <c r="L107" s="771">
        <v>0</v>
      </c>
      <c r="M107" s="808">
        <f t="shared" si="5"/>
        <v>0</v>
      </c>
      <c r="N107" s="65"/>
      <c r="O107" s="69"/>
      <c r="P107" s="357"/>
      <c r="Q107" s="57"/>
      <c r="R107" s="16">
        <f t="shared" si="6"/>
        <v>50000</v>
      </c>
      <c r="S107" s="57"/>
    </row>
    <row r="108" spans="1:19" s="2" customFormat="1" ht="12.75" customHeight="1" thickBot="1">
      <c r="A108" s="124"/>
      <c r="B108" s="579" t="s">
        <v>323</v>
      </c>
      <c r="C108" s="576"/>
      <c r="D108" s="577">
        <f>130000+90000+30000+100000+57000+393700+15000</f>
        <v>815700</v>
      </c>
      <c r="E108" s="578"/>
      <c r="F108" s="578">
        <v>155382</v>
      </c>
      <c r="G108" s="577"/>
      <c r="H108" s="577"/>
      <c r="I108" s="406">
        <v>70420</v>
      </c>
      <c r="J108" s="757">
        <v>0</v>
      </c>
      <c r="K108" s="823">
        <v>260000</v>
      </c>
      <c r="L108" s="757"/>
      <c r="M108" s="801">
        <f t="shared" si="5"/>
        <v>0</v>
      </c>
      <c r="N108" s="65"/>
      <c r="O108" s="69"/>
      <c r="P108" s="357"/>
      <c r="Q108" s="57"/>
      <c r="R108" s="16"/>
      <c r="S108" s="57"/>
    </row>
    <row r="109" spans="1:19" s="2" customFormat="1" ht="12.75" customHeight="1" hidden="1">
      <c r="A109" s="124"/>
      <c r="B109" s="579"/>
      <c r="C109" s="576"/>
      <c r="D109" s="577"/>
      <c r="E109" s="578"/>
      <c r="F109" s="578"/>
      <c r="G109" s="577"/>
      <c r="H109" s="577"/>
      <c r="I109" s="398"/>
      <c r="J109" s="757"/>
      <c r="K109" s="757"/>
      <c r="L109" s="757"/>
      <c r="M109" s="757"/>
      <c r="N109" s="65"/>
      <c r="O109" s="69"/>
      <c r="P109" s="357"/>
      <c r="Q109" s="57"/>
      <c r="R109" s="16"/>
      <c r="S109" s="57"/>
    </row>
    <row r="110" spans="1:19" s="2" customFormat="1" ht="12.75" customHeight="1" hidden="1">
      <c r="A110" s="124"/>
      <c r="B110" s="579"/>
      <c r="C110" s="429"/>
      <c r="D110" s="406"/>
      <c r="E110" s="441"/>
      <c r="F110" s="441"/>
      <c r="G110" s="406"/>
      <c r="H110" s="406"/>
      <c r="I110" s="406"/>
      <c r="J110" s="757"/>
      <c r="K110" s="757"/>
      <c r="L110" s="757"/>
      <c r="M110" s="757"/>
      <c r="N110" s="65"/>
      <c r="O110" s="69"/>
      <c r="P110" s="357"/>
      <c r="Q110" s="57"/>
      <c r="R110" s="16"/>
      <c r="S110" s="57"/>
    </row>
    <row r="111" spans="1:19" s="2" customFormat="1" ht="12.75" customHeight="1" hidden="1">
      <c r="A111" s="124"/>
      <c r="B111" s="579"/>
      <c r="C111" s="429"/>
      <c r="D111" s="406"/>
      <c r="E111" s="441"/>
      <c r="F111" s="441"/>
      <c r="G111" s="406"/>
      <c r="H111" s="406"/>
      <c r="I111" s="406"/>
      <c r="J111" s="757"/>
      <c r="K111" s="757"/>
      <c r="L111" s="757"/>
      <c r="M111" s="757"/>
      <c r="N111" s="65"/>
      <c r="O111" s="69"/>
      <c r="P111" s="357"/>
      <c r="Q111" s="57"/>
      <c r="R111" s="16"/>
      <c r="S111" s="57"/>
    </row>
    <row r="112" spans="1:19" s="2" customFormat="1" ht="12.75" customHeight="1" hidden="1">
      <c r="A112" s="124"/>
      <c r="B112" s="579"/>
      <c r="C112" s="429"/>
      <c r="D112" s="406"/>
      <c r="E112" s="441"/>
      <c r="F112" s="441"/>
      <c r="G112" s="406"/>
      <c r="H112" s="406"/>
      <c r="I112" s="406"/>
      <c r="J112" s="757"/>
      <c r="K112" s="757"/>
      <c r="L112" s="757"/>
      <c r="M112" s="757"/>
      <c r="N112" s="65"/>
      <c r="O112" s="69"/>
      <c r="P112" s="357"/>
      <c r="Q112" s="57"/>
      <c r="R112" s="16"/>
      <c r="S112" s="57"/>
    </row>
    <row r="113" spans="1:19" s="108" customFormat="1" ht="12.75" customHeight="1" hidden="1">
      <c r="A113" s="284"/>
      <c r="B113" s="678" t="s">
        <v>53</v>
      </c>
      <c r="C113" s="679">
        <v>68000</v>
      </c>
      <c r="D113" s="680">
        <v>68067</v>
      </c>
      <c r="E113" s="681">
        <v>68000</v>
      </c>
      <c r="F113" s="681"/>
      <c r="G113" s="680"/>
      <c r="H113" s="680"/>
      <c r="I113" s="680"/>
      <c r="J113" s="773"/>
      <c r="K113" s="773"/>
      <c r="L113" s="773"/>
      <c r="M113" s="773"/>
      <c r="N113" s="81"/>
      <c r="O113" s="70"/>
      <c r="P113" s="394"/>
      <c r="Q113" s="57"/>
      <c r="R113" s="16"/>
      <c r="S113" s="57"/>
    </row>
    <row r="114" spans="1:19" s="11" customFormat="1" ht="14.25" thickBot="1">
      <c r="A114" s="124"/>
      <c r="B114" s="460" t="s">
        <v>13</v>
      </c>
      <c r="C114" s="683">
        <f aca="true" t="shared" si="7" ref="C114:J114">SUM(C63:C113)</f>
        <v>12493975</v>
      </c>
      <c r="D114" s="360">
        <f t="shared" si="7"/>
        <v>12314901</v>
      </c>
      <c r="E114" s="684">
        <f t="shared" si="7"/>
        <v>12888766</v>
      </c>
      <c r="F114" s="684">
        <f t="shared" si="7"/>
        <v>12988703</v>
      </c>
      <c r="G114" s="360">
        <f t="shared" si="7"/>
        <v>13719257</v>
      </c>
      <c r="H114" s="360">
        <f t="shared" si="7"/>
        <v>5064711</v>
      </c>
      <c r="I114" s="360">
        <f t="shared" si="7"/>
        <v>6325994</v>
      </c>
      <c r="J114" s="774">
        <f t="shared" si="7"/>
        <v>14081624</v>
      </c>
      <c r="K114" s="774">
        <f>SUM(K63:K113)</f>
        <v>14341624</v>
      </c>
      <c r="L114" s="774">
        <f>SUM(L63:L113)</f>
        <v>3639042</v>
      </c>
      <c r="M114" s="774"/>
      <c r="N114" s="685"/>
      <c r="O114" s="686"/>
      <c r="P114" s="687"/>
      <c r="Q114" s="52"/>
      <c r="R114" s="501">
        <f>SUM(R69:R113)</f>
        <v>2360000</v>
      </c>
      <c r="S114" s="134"/>
    </row>
    <row r="115" spans="1:19" s="11" customFormat="1" ht="9" customHeight="1" thickBot="1">
      <c r="A115" s="124"/>
      <c r="B115" s="327"/>
      <c r="C115" s="366"/>
      <c r="D115" s="367"/>
      <c r="E115" s="5"/>
      <c r="F115" s="5"/>
      <c r="G115" s="367"/>
      <c r="H115" s="367"/>
      <c r="I115" s="367"/>
      <c r="J115" s="609"/>
      <c r="K115" s="56"/>
      <c r="L115" s="56"/>
      <c r="M115" s="775"/>
      <c r="N115" s="82"/>
      <c r="O115" s="83"/>
      <c r="P115" s="124"/>
      <c r="Q115" s="52"/>
      <c r="R115" s="16"/>
      <c r="S115" s="134"/>
    </row>
    <row r="116" spans="1:19" s="11" customFormat="1" ht="15" thickBot="1" thickTop="1">
      <c r="A116" s="124"/>
      <c r="B116" s="340" t="s">
        <v>167</v>
      </c>
      <c r="C116" s="341"/>
      <c r="D116" s="343">
        <f aca="true" t="shared" si="8" ref="D116:M116">D114-D60</f>
        <v>-154646</v>
      </c>
      <c r="E116" s="343">
        <f t="shared" si="8"/>
        <v>0</v>
      </c>
      <c r="F116" s="343">
        <f t="shared" si="8"/>
        <v>25684</v>
      </c>
      <c r="G116" s="343">
        <f t="shared" si="8"/>
        <v>0</v>
      </c>
      <c r="H116" s="343">
        <f t="shared" si="8"/>
        <v>-171073</v>
      </c>
      <c r="I116" s="343">
        <f t="shared" si="8"/>
        <v>80293</v>
      </c>
      <c r="J116" s="776">
        <f t="shared" si="8"/>
        <v>0</v>
      </c>
      <c r="K116" s="776">
        <f t="shared" si="8"/>
        <v>30000</v>
      </c>
      <c r="L116" s="776">
        <f t="shared" si="8"/>
        <v>64286</v>
      </c>
      <c r="M116" s="776">
        <f t="shared" si="8"/>
        <v>0</v>
      </c>
      <c r="N116" s="82"/>
      <c r="O116" s="83"/>
      <c r="P116" s="124"/>
      <c r="Q116" s="52"/>
      <c r="R116" s="16"/>
      <c r="S116" s="134"/>
    </row>
    <row r="117" spans="2:19" ht="8.25" customHeight="1" thickTop="1">
      <c r="B117" s="67"/>
      <c r="C117" s="67"/>
      <c r="D117" s="67"/>
      <c r="E117" s="67"/>
      <c r="F117" s="67"/>
      <c r="G117" s="368"/>
      <c r="H117" s="368"/>
      <c r="I117" s="368"/>
      <c r="R117" s="28"/>
      <c r="S117" s="134"/>
    </row>
    <row r="118" spans="2:19" ht="18" thickBot="1">
      <c r="B118" s="874" t="s">
        <v>14</v>
      </c>
      <c r="C118" s="874"/>
      <c r="D118" s="874"/>
      <c r="E118" s="874"/>
      <c r="F118" s="874"/>
      <c r="G118" s="874"/>
      <c r="H118" s="874"/>
      <c r="I118" s="874"/>
      <c r="J118" s="874"/>
      <c r="K118" s="874"/>
      <c r="L118" s="874"/>
      <c r="R118" s="29"/>
      <c r="S118" s="134"/>
    </row>
    <row r="119" spans="2:19" ht="27.75">
      <c r="B119" s="454" t="s">
        <v>0</v>
      </c>
      <c r="C119" s="93" t="s">
        <v>299</v>
      </c>
      <c r="D119" s="350" t="s">
        <v>137</v>
      </c>
      <c r="E119" s="93" t="s">
        <v>299</v>
      </c>
      <c r="F119" s="350" t="s">
        <v>137</v>
      </c>
      <c r="G119" s="93" t="s">
        <v>299</v>
      </c>
      <c r="H119" s="350" t="s">
        <v>338</v>
      </c>
      <c r="I119" s="350" t="s">
        <v>338</v>
      </c>
      <c r="J119" s="749" t="s">
        <v>411</v>
      </c>
      <c r="K119" s="749" t="s">
        <v>412</v>
      </c>
      <c r="L119" s="794" t="s">
        <v>414</v>
      </c>
      <c r="M119" s="181" t="s">
        <v>415</v>
      </c>
      <c r="N119" s="1"/>
      <c r="O119" s="41"/>
      <c r="P119" s="351" t="s">
        <v>136</v>
      </c>
      <c r="R119" s="135"/>
      <c r="S119" s="134"/>
    </row>
    <row r="120" spans="2:21" ht="15.75" thickBot="1">
      <c r="B120" s="455"/>
      <c r="C120" s="539">
        <v>2015</v>
      </c>
      <c r="D120" s="353">
        <v>2015</v>
      </c>
      <c r="E120" s="540">
        <v>2016</v>
      </c>
      <c r="F120" s="540">
        <v>2016</v>
      </c>
      <c r="G120" s="353">
        <v>2017</v>
      </c>
      <c r="H120" s="418" t="s">
        <v>339</v>
      </c>
      <c r="I120" s="418" t="s">
        <v>359</v>
      </c>
      <c r="J120" s="395" t="s">
        <v>300</v>
      </c>
      <c r="K120" s="395" t="s">
        <v>300</v>
      </c>
      <c r="L120" s="795" t="s">
        <v>413</v>
      </c>
      <c r="M120" s="182"/>
      <c r="N120" s="1"/>
      <c r="O120" s="41"/>
      <c r="P120" s="355"/>
      <c r="R120" s="29"/>
      <c r="S120" s="134"/>
      <c r="T120" s="29"/>
      <c r="U120" s="29"/>
    </row>
    <row r="121" spans="1:21" s="2" customFormat="1" ht="12.75" customHeight="1">
      <c r="A121" s="124"/>
      <c r="B121" s="456" t="s">
        <v>322</v>
      </c>
      <c r="C121" s="452">
        <v>169000</v>
      </c>
      <c r="D121" s="437">
        <v>42335</v>
      </c>
      <c r="E121" s="448">
        <v>50000</v>
      </c>
      <c r="F121" s="448">
        <v>40506</v>
      </c>
      <c r="G121" s="437">
        <v>47100</v>
      </c>
      <c r="H121" s="437">
        <v>27252</v>
      </c>
      <c r="I121" s="437">
        <v>13552</v>
      </c>
      <c r="J121" s="766">
        <v>45000</v>
      </c>
      <c r="K121" s="766">
        <v>45000</v>
      </c>
      <c r="L121" s="766">
        <v>10423</v>
      </c>
      <c r="M121" s="801">
        <f aca="true" t="shared" si="9" ref="M121:M129">L121/K121</f>
        <v>0.23162222222222223</v>
      </c>
      <c r="P121" s="356"/>
      <c r="R121" s="70"/>
      <c r="S121" s="134"/>
      <c r="T121" s="70"/>
      <c r="U121" s="70"/>
    </row>
    <row r="122" spans="1:21" s="2" customFormat="1" ht="12.75" customHeight="1">
      <c r="A122" s="124"/>
      <c r="B122" s="457" t="s">
        <v>314</v>
      </c>
      <c r="C122" s="430"/>
      <c r="D122" s="398">
        <v>20088</v>
      </c>
      <c r="E122" s="397">
        <v>11000</v>
      </c>
      <c r="F122" s="397">
        <v>17147</v>
      </c>
      <c r="G122" s="398">
        <v>17300</v>
      </c>
      <c r="H122" s="398">
        <v>7095</v>
      </c>
      <c r="I122" s="398">
        <v>9915</v>
      </c>
      <c r="J122" s="757">
        <v>18000</v>
      </c>
      <c r="K122" s="757">
        <v>18000</v>
      </c>
      <c r="L122" s="757">
        <v>7169</v>
      </c>
      <c r="M122" s="801">
        <f t="shared" si="9"/>
        <v>0.3982777777777778</v>
      </c>
      <c r="P122" s="357"/>
      <c r="R122" s="70"/>
      <c r="S122" s="134"/>
      <c r="T122" s="70"/>
      <c r="U122" s="70"/>
    </row>
    <row r="123" spans="1:21" s="2" customFormat="1" ht="12.75" customHeight="1">
      <c r="A123" s="124"/>
      <c r="B123" s="457" t="s">
        <v>313</v>
      </c>
      <c r="C123" s="430"/>
      <c r="D123" s="398">
        <v>88894</v>
      </c>
      <c r="E123" s="397">
        <v>108000</v>
      </c>
      <c r="F123" s="397">
        <v>93886</v>
      </c>
      <c r="G123" s="398">
        <v>113300</v>
      </c>
      <c r="H123" s="398">
        <v>49601</v>
      </c>
      <c r="I123" s="398">
        <v>50557</v>
      </c>
      <c r="J123" s="757">
        <v>115000</v>
      </c>
      <c r="K123" s="757">
        <v>115000</v>
      </c>
      <c r="L123" s="757">
        <v>42893</v>
      </c>
      <c r="M123" s="801">
        <f t="shared" si="9"/>
        <v>0.3729826086956522</v>
      </c>
      <c r="P123" s="358"/>
      <c r="R123" s="70"/>
      <c r="S123" s="134"/>
      <c r="T123" s="70"/>
      <c r="U123" s="70"/>
    </row>
    <row r="124" spans="1:21" s="2" customFormat="1" ht="12.75" customHeight="1">
      <c r="A124" s="124"/>
      <c r="B124" s="458" t="s">
        <v>1</v>
      </c>
      <c r="C124" s="430">
        <v>25000</v>
      </c>
      <c r="D124" s="398">
        <v>0</v>
      </c>
      <c r="E124" s="595">
        <f>C124</f>
        <v>25000</v>
      </c>
      <c r="F124" s="595">
        <v>960</v>
      </c>
      <c r="G124" s="398">
        <v>20000</v>
      </c>
      <c r="H124" s="398">
        <v>0</v>
      </c>
      <c r="I124" s="398"/>
      <c r="J124" s="757">
        <f>20000-5000</f>
        <v>15000</v>
      </c>
      <c r="K124" s="757">
        <f>20000-5000</f>
        <v>15000</v>
      </c>
      <c r="L124" s="757">
        <v>0</v>
      </c>
      <c r="M124" s="801">
        <f t="shared" si="9"/>
        <v>0</v>
      </c>
      <c r="P124" s="357"/>
      <c r="R124" s="70"/>
      <c r="S124" s="134"/>
      <c r="T124" s="70"/>
      <c r="U124" s="70"/>
    </row>
    <row r="125" spans="1:21" s="2" customFormat="1" ht="12.75" customHeight="1" hidden="1">
      <c r="A125" s="124"/>
      <c r="B125" s="458" t="s">
        <v>197</v>
      </c>
      <c r="C125" s="430"/>
      <c r="D125" s="398">
        <v>5857</v>
      </c>
      <c r="E125" s="595">
        <v>197957</v>
      </c>
      <c r="F125" s="595">
        <v>197957</v>
      </c>
      <c r="G125" s="398"/>
      <c r="H125" s="398"/>
      <c r="I125" s="399"/>
      <c r="J125" s="757"/>
      <c r="K125" s="757"/>
      <c r="L125" s="757"/>
      <c r="M125" s="801" t="e">
        <f t="shared" si="9"/>
        <v>#DIV/0!</v>
      </c>
      <c r="P125" s="357"/>
      <c r="R125" s="70"/>
      <c r="S125" s="134"/>
      <c r="T125" s="70"/>
      <c r="U125" s="70"/>
    </row>
    <row r="126" spans="1:21" s="2" customFormat="1" ht="12.75" customHeight="1">
      <c r="A126" s="124"/>
      <c r="B126" s="458" t="s">
        <v>198</v>
      </c>
      <c r="C126" s="430"/>
      <c r="D126" s="398"/>
      <c r="E126" s="595"/>
      <c r="F126" s="595">
        <v>12364</v>
      </c>
      <c r="G126" s="398">
        <v>24960</v>
      </c>
      <c r="H126" s="398">
        <v>10358</v>
      </c>
      <c r="I126" s="399">
        <v>12402</v>
      </c>
      <c r="J126" s="757">
        <f>3275+1194+1943+1429+593+589+589+589+589+589+589+589+589+589+589+589+589+248+124+454+454+454+454+556+556+184+184+539+108+120+2011+311+311+311+311+311+311+311+311+311+19</f>
        <v>24766</v>
      </c>
      <c r="K126" s="757">
        <f>3275+1194+1943+1429+593+589+589+589+589+589+589+589+589+589+589+589+589+248+124+454+454+454+454+556+556+184+184+539+108+120+2011+311+311+311+311+311+311+311+311+311+19</f>
        <v>24766</v>
      </c>
      <c r="L126" s="757">
        <v>6205</v>
      </c>
      <c r="M126" s="801">
        <f t="shared" si="9"/>
        <v>0.25054510215618186</v>
      </c>
      <c r="P126" s="357"/>
      <c r="R126" s="70"/>
      <c r="S126" s="134"/>
      <c r="T126" s="70"/>
      <c r="U126" s="70"/>
    </row>
    <row r="127" spans="1:21" s="2" customFormat="1" ht="12.75" customHeight="1">
      <c r="A127" s="124"/>
      <c r="B127" s="458" t="s">
        <v>8</v>
      </c>
      <c r="C127" s="430">
        <v>6000</v>
      </c>
      <c r="D127" s="398">
        <v>25</v>
      </c>
      <c r="E127" s="595">
        <f>C127</f>
        <v>6000</v>
      </c>
      <c r="F127" s="595">
        <v>17800</v>
      </c>
      <c r="G127" s="398">
        <v>6200</v>
      </c>
      <c r="H127" s="398">
        <v>3011</v>
      </c>
      <c r="I127" s="398">
        <v>3011</v>
      </c>
      <c r="J127" s="757">
        <v>7000</v>
      </c>
      <c r="K127" s="757">
        <v>7000</v>
      </c>
      <c r="L127" s="757">
        <v>233</v>
      </c>
      <c r="M127" s="801">
        <f t="shared" si="9"/>
        <v>0.03328571428571429</v>
      </c>
      <c r="P127" s="357"/>
      <c r="R127" s="70"/>
      <c r="S127" s="134"/>
      <c r="T127" s="70"/>
      <c r="U127" s="70"/>
    </row>
    <row r="128" spans="1:21" s="2" customFormat="1" ht="12.75" customHeight="1">
      <c r="A128" s="124"/>
      <c r="B128" s="458" t="s">
        <v>16</v>
      </c>
      <c r="C128" s="430">
        <v>95000</v>
      </c>
      <c r="D128" s="398">
        <v>56433</v>
      </c>
      <c r="E128" s="595">
        <v>235800</v>
      </c>
      <c r="F128" s="595">
        <v>205254</v>
      </c>
      <c r="G128" s="398">
        <v>280000</v>
      </c>
      <c r="H128" s="398">
        <v>34311</v>
      </c>
      <c r="I128" s="398">
        <v>35590</v>
      </c>
      <c r="J128" s="757">
        <v>100000</v>
      </c>
      <c r="K128" s="757">
        <v>100000</v>
      </c>
      <c r="L128" s="757">
        <v>12233</v>
      </c>
      <c r="M128" s="801">
        <f t="shared" si="9"/>
        <v>0.12233</v>
      </c>
      <c r="P128" s="357"/>
      <c r="R128" s="70"/>
      <c r="S128" s="134"/>
      <c r="T128" s="70"/>
      <c r="U128" s="70"/>
    </row>
    <row r="129" spans="1:21" s="2" customFormat="1" ht="12.75" customHeight="1" thickBot="1">
      <c r="A129" s="124"/>
      <c r="B129" s="549" t="s">
        <v>10</v>
      </c>
      <c r="C129" s="550">
        <v>319340</v>
      </c>
      <c r="D129" s="551">
        <v>287854</v>
      </c>
      <c r="E129" s="552">
        <v>319826</v>
      </c>
      <c r="F129" s="552">
        <v>298092</v>
      </c>
      <c r="G129" s="551">
        <v>442295</v>
      </c>
      <c r="H129" s="551">
        <v>143190</v>
      </c>
      <c r="I129" s="551">
        <v>180034</v>
      </c>
      <c r="J129" s="779">
        <v>590481</v>
      </c>
      <c r="K129" s="779">
        <v>590481</v>
      </c>
      <c r="L129" s="779">
        <v>105426</v>
      </c>
      <c r="M129" s="821">
        <f t="shared" si="9"/>
        <v>0.1785425779999695</v>
      </c>
      <c r="P129" s="359"/>
      <c r="Q129" s="70"/>
      <c r="R129" s="70"/>
      <c r="S129" s="500"/>
      <c r="T129" s="70"/>
      <c r="U129" s="70"/>
    </row>
    <row r="130" spans="1:21" s="11" customFormat="1" ht="14.25" thickBot="1">
      <c r="A130" s="124"/>
      <c r="B130" s="460" t="s">
        <v>2</v>
      </c>
      <c r="C130" s="373">
        <f aca="true" t="shared" si="10" ref="C130:J130">SUM(C121:C129)</f>
        <v>614340</v>
      </c>
      <c r="D130" s="360">
        <f t="shared" si="10"/>
        <v>501486</v>
      </c>
      <c r="E130" s="371">
        <f t="shared" si="10"/>
        <v>953583</v>
      </c>
      <c r="F130" s="371">
        <f t="shared" si="10"/>
        <v>883966</v>
      </c>
      <c r="G130" s="360">
        <f t="shared" si="10"/>
        <v>951155</v>
      </c>
      <c r="H130" s="360">
        <f t="shared" si="10"/>
        <v>274818</v>
      </c>
      <c r="I130" s="372">
        <f t="shared" si="10"/>
        <v>305061</v>
      </c>
      <c r="J130" s="780">
        <f t="shared" si="10"/>
        <v>915247</v>
      </c>
      <c r="K130" s="780">
        <f>SUM(K121:K129)</f>
        <v>915247</v>
      </c>
      <c r="L130" s="780">
        <f>SUM(L121:L129)</f>
        <v>184582</v>
      </c>
      <c r="M130" s="780"/>
      <c r="P130" s="124"/>
      <c r="Q130" s="16"/>
      <c r="R130" s="52"/>
      <c r="S130" s="500"/>
      <c r="T130" s="52"/>
      <c r="U130" s="52"/>
    </row>
    <row r="131" spans="2:21" ht="15.75" thickBot="1">
      <c r="B131" s="3"/>
      <c r="C131" s="17"/>
      <c r="D131" s="17"/>
      <c r="E131" s="22"/>
      <c r="F131" s="22"/>
      <c r="G131" s="362"/>
      <c r="H131" s="362"/>
      <c r="I131" s="362"/>
      <c r="J131" s="751"/>
      <c r="K131" s="751"/>
      <c r="L131" s="751"/>
      <c r="M131" s="751"/>
      <c r="Q131" s="16"/>
      <c r="R131" s="29"/>
      <c r="T131" s="29"/>
      <c r="U131" s="29"/>
    </row>
    <row r="132" spans="2:21" ht="15.75" thickBot="1">
      <c r="B132" s="89" t="s">
        <v>3</v>
      </c>
      <c r="C132" s="17"/>
      <c r="D132" s="17"/>
      <c r="E132" s="22"/>
      <c r="F132" s="22"/>
      <c r="G132" s="362"/>
      <c r="H132" s="362"/>
      <c r="I132" s="362"/>
      <c r="J132" s="609"/>
      <c r="K132" s="609"/>
      <c r="L132" s="609"/>
      <c r="M132" s="609"/>
      <c r="Q132" s="16"/>
      <c r="R132" s="29"/>
      <c r="T132" s="29"/>
      <c r="U132" s="29"/>
    </row>
    <row r="133" spans="2:21" ht="12.75" customHeight="1">
      <c r="B133" s="642" t="s">
        <v>11</v>
      </c>
      <c r="C133" s="452">
        <v>21000</v>
      </c>
      <c r="D133" s="437">
        <v>68390</v>
      </c>
      <c r="E133" s="448">
        <f>C133</f>
        <v>21000</v>
      </c>
      <c r="F133" s="448">
        <v>63713</v>
      </c>
      <c r="G133" s="437">
        <v>25000</v>
      </c>
      <c r="H133" s="437">
        <v>10525</v>
      </c>
      <c r="I133" s="437">
        <v>11115</v>
      </c>
      <c r="J133" s="766">
        <v>40000</v>
      </c>
      <c r="K133" s="766">
        <v>40000</v>
      </c>
      <c r="L133" s="766">
        <v>6410</v>
      </c>
      <c r="M133" s="766"/>
      <c r="P133" s="356"/>
      <c r="Q133" s="16"/>
      <c r="R133" s="29"/>
      <c r="T133" s="29"/>
      <c r="U133" s="29"/>
    </row>
    <row r="134" spans="2:21" ht="12.75" customHeight="1" hidden="1">
      <c r="B134" s="643" t="s">
        <v>199</v>
      </c>
      <c r="C134" s="430"/>
      <c r="D134" s="398"/>
      <c r="E134" s="397"/>
      <c r="F134" s="397"/>
      <c r="G134" s="398"/>
      <c r="H134" s="398"/>
      <c r="I134" s="399"/>
      <c r="J134" s="757"/>
      <c r="K134" s="757"/>
      <c r="L134" s="757"/>
      <c r="M134" s="757"/>
      <c r="P134" s="357"/>
      <c r="Q134" s="16"/>
      <c r="R134" s="29"/>
      <c r="T134" s="29"/>
      <c r="U134" s="29"/>
    </row>
    <row r="135" spans="2:21" ht="12.75" customHeight="1" hidden="1">
      <c r="B135" s="643" t="s">
        <v>200</v>
      </c>
      <c r="C135" s="430"/>
      <c r="D135" s="398"/>
      <c r="E135" s="595">
        <v>197957</v>
      </c>
      <c r="F135" s="595">
        <v>197957</v>
      </c>
      <c r="G135" s="398"/>
      <c r="H135" s="398"/>
      <c r="I135" s="399"/>
      <c r="J135" s="757"/>
      <c r="K135" s="757"/>
      <c r="L135" s="757"/>
      <c r="M135" s="757"/>
      <c r="P135" s="357"/>
      <c r="Q135" s="16"/>
      <c r="R135" s="29"/>
      <c r="T135" s="29"/>
      <c r="U135" s="29"/>
    </row>
    <row r="136" spans="2:21" ht="14.25" thickBot="1">
      <c r="B136" s="553" t="s">
        <v>4</v>
      </c>
      <c r="C136" s="554">
        <v>593340</v>
      </c>
      <c r="D136" s="555">
        <v>566000</v>
      </c>
      <c r="E136" s="556">
        <f>C136+486+140800</f>
        <v>734626</v>
      </c>
      <c r="F136" s="556">
        <v>734626</v>
      </c>
      <c r="G136" s="555">
        <v>926155</v>
      </c>
      <c r="H136" s="555">
        <v>380595</v>
      </c>
      <c r="I136" s="555">
        <v>456714</v>
      </c>
      <c r="J136" s="781">
        <v>875247</v>
      </c>
      <c r="K136" s="781">
        <v>875247</v>
      </c>
      <c r="L136" s="781">
        <v>224683</v>
      </c>
      <c r="M136" s="807">
        <f>L136/K136</f>
        <v>0.2567081063973941</v>
      </c>
      <c r="P136" s="359"/>
      <c r="Q136" s="28"/>
      <c r="R136" s="29"/>
      <c r="T136" s="29"/>
      <c r="U136" s="29"/>
    </row>
    <row r="137" spans="1:21" s="11" customFormat="1" ht="14.25" thickBot="1">
      <c r="A137" s="124"/>
      <c r="B137" s="460" t="s">
        <v>5</v>
      </c>
      <c r="C137" s="373">
        <f aca="true" t="shared" si="11" ref="C137:J137">SUM(C133:C136)</f>
        <v>614340</v>
      </c>
      <c r="D137" s="360">
        <f t="shared" si="11"/>
        <v>634390</v>
      </c>
      <c r="E137" s="371">
        <f t="shared" si="11"/>
        <v>953583</v>
      </c>
      <c r="F137" s="371">
        <f t="shared" si="11"/>
        <v>996296</v>
      </c>
      <c r="G137" s="360">
        <f t="shared" si="11"/>
        <v>951155</v>
      </c>
      <c r="H137" s="360">
        <f t="shared" si="11"/>
        <v>391120</v>
      </c>
      <c r="I137" s="372">
        <f t="shared" si="11"/>
        <v>467829</v>
      </c>
      <c r="J137" s="780">
        <f t="shared" si="11"/>
        <v>915247</v>
      </c>
      <c r="K137" s="780">
        <f>SUM(K133:K136)</f>
        <v>915247</v>
      </c>
      <c r="L137" s="780">
        <f>SUM(L133:L136)</f>
        <v>231093</v>
      </c>
      <c r="M137" s="780">
        <f>SUM(M133:M136)</f>
        <v>0.2567081063973941</v>
      </c>
      <c r="P137" s="124"/>
      <c r="Q137" s="16"/>
      <c r="R137" s="52"/>
      <c r="S137" s="500"/>
      <c r="T137" s="52"/>
      <c r="U137" s="52"/>
    </row>
    <row r="138" spans="2:21" ht="7.5" customHeight="1" thickBot="1">
      <c r="B138" s="20"/>
      <c r="D138" s="362"/>
      <c r="G138" s="362"/>
      <c r="H138" s="362"/>
      <c r="I138" s="362"/>
      <c r="K138" s="777"/>
      <c r="L138" s="777"/>
      <c r="M138" s="777"/>
      <c r="Q138" s="16"/>
      <c r="R138" s="29"/>
      <c r="T138" s="29"/>
      <c r="U138" s="29"/>
    </row>
    <row r="139" spans="2:21" ht="15" thickBot="1" thickTop="1">
      <c r="B139" s="340" t="s">
        <v>168</v>
      </c>
      <c r="C139" s="341"/>
      <c r="D139" s="343">
        <f aca="true" t="shared" si="12" ref="D139:J139">D137-D130</f>
        <v>132904</v>
      </c>
      <c r="E139" s="343">
        <f t="shared" si="12"/>
        <v>0</v>
      </c>
      <c r="F139" s="343">
        <f t="shared" si="12"/>
        <v>112330</v>
      </c>
      <c r="G139" s="343">
        <f t="shared" si="12"/>
        <v>0</v>
      </c>
      <c r="H139" s="343">
        <f t="shared" si="12"/>
        <v>116302</v>
      </c>
      <c r="I139" s="343">
        <f t="shared" si="12"/>
        <v>162768</v>
      </c>
      <c r="J139" s="776">
        <f t="shared" si="12"/>
        <v>0</v>
      </c>
      <c r="K139" s="776">
        <f>K137-K130</f>
        <v>0</v>
      </c>
      <c r="L139" s="776">
        <f>L137-L130</f>
        <v>46511</v>
      </c>
      <c r="M139" s="776">
        <f>M137-M130</f>
        <v>0.2567081063973941</v>
      </c>
      <c r="Q139" s="16"/>
      <c r="R139" s="29"/>
      <c r="T139" s="29"/>
      <c r="U139" s="29"/>
    </row>
    <row r="140" spans="2:21" ht="14.25" thickTop="1">
      <c r="B140" s="20"/>
      <c r="G140" s="362"/>
      <c r="H140" s="362"/>
      <c r="I140" s="362"/>
      <c r="Q140" s="16"/>
      <c r="R140" s="29"/>
      <c r="T140" s="29"/>
      <c r="U140" s="29"/>
    </row>
    <row r="141" spans="2:21" ht="18" thickBot="1">
      <c r="B141" s="875" t="s">
        <v>15</v>
      </c>
      <c r="C141" s="875"/>
      <c r="D141" s="875"/>
      <c r="E141" s="875"/>
      <c r="F141" s="875"/>
      <c r="G141" s="875"/>
      <c r="H141" s="875"/>
      <c r="I141" s="875"/>
      <c r="J141" s="875"/>
      <c r="K141" s="875"/>
      <c r="L141" s="875"/>
      <c r="M141" s="875"/>
      <c r="N141" s="875"/>
      <c r="O141" s="875"/>
      <c r="Q141" s="16"/>
      <c r="R141" s="29"/>
      <c r="T141" s="29"/>
      <c r="U141" s="29"/>
    </row>
    <row r="142" spans="2:21" ht="27.75">
      <c r="B142" s="454" t="s">
        <v>0</v>
      </c>
      <c r="C142" s="93" t="s">
        <v>299</v>
      </c>
      <c r="D142" s="350" t="s">
        <v>137</v>
      </c>
      <c r="E142" s="93" t="s">
        <v>299</v>
      </c>
      <c r="F142" s="350" t="s">
        <v>137</v>
      </c>
      <c r="G142" s="93" t="s">
        <v>299</v>
      </c>
      <c r="H142" s="350" t="s">
        <v>338</v>
      </c>
      <c r="I142" s="350" t="s">
        <v>338</v>
      </c>
      <c r="J142" s="749" t="s">
        <v>411</v>
      </c>
      <c r="K142" s="749" t="s">
        <v>412</v>
      </c>
      <c r="L142" s="794" t="s">
        <v>414</v>
      </c>
      <c r="M142" s="181" t="s">
        <v>415</v>
      </c>
      <c r="N142" s="1"/>
      <c r="O142" s="41"/>
      <c r="P142" s="351" t="s">
        <v>136</v>
      </c>
      <c r="Q142" s="16"/>
      <c r="R142" s="29"/>
      <c r="T142" s="29"/>
      <c r="U142" s="29"/>
    </row>
    <row r="143" spans="2:21" ht="15.75" thickBot="1">
      <c r="B143" s="470"/>
      <c r="C143" s="539">
        <v>2015</v>
      </c>
      <c r="D143" s="353">
        <v>2015</v>
      </c>
      <c r="E143" s="540">
        <v>2016</v>
      </c>
      <c r="F143" s="540">
        <v>2016</v>
      </c>
      <c r="G143" s="353">
        <v>2017</v>
      </c>
      <c r="H143" s="418" t="s">
        <v>339</v>
      </c>
      <c r="I143" s="418" t="s">
        <v>359</v>
      </c>
      <c r="J143" s="395" t="s">
        <v>300</v>
      </c>
      <c r="K143" s="395" t="s">
        <v>300</v>
      </c>
      <c r="L143" s="795" t="s">
        <v>413</v>
      </c>
      <c r="M143" s="182"/>
      <c r="N143" s="1"/>
      <c r="O143" s="41"/>
      <c r="P143" s="355"/>
      <c r="Q143" s="16"/>
      <c r="R143" s="29"/>
      <c r="T143" s="29"/>
      <c r="U143" s="29"/>
    </row>
    <row r="144" spans="2:21" ht="13.5">
      <c r="B144" s="471" t="s">
        <v>315</v>
      </c>
      <c r="C144" s="467">
        <v>95000</v>
      </c>
      <c r="D144" s="437">
        <v>47883</v>
      </c>
      <c r="E144" s="448">
        <v>60000</v>
      </c>
      <c r="F144" s="448">
        <v>42131</v>
      </c>
      <c r="G144" s="437">
        <v>60000</v>
      </c>
      <c r="H144" s="437">
        <v>33283</v>
      </c>
      <c r="I144" s="437">
        <v>37588</v>
      </c>
      <c r="J144" s="766">
        <v>60000</v>
      </c>
      <c r="K144" s="766">
        <v>60000</v>
      </c>
      <c r="L144" s="766">
        <v>10336</v>
      </c>
      <c r="M144" s="800">
        <f>L144/K144</f>
        <v>0.17226666666666668</v>
      </c>
      <c r="N144" s="31"/>
      <c r="O144" s="10"/>
      <c r="P144" s="356"/>
      <c r="Q144" s="16"/>
      <c r="R144" s="29"/>
      <c r="T144" s="29"/>
      <c r="U144" s="29"/>
    </row>
    <row r="145" spans="2:21" ht="13.5">
      <c r="B145" s="472" t="s">
        <v>314</v>
      </c>
      <c r="C145" s="468"/>
      <c r="D145" s="398">
        <v>2902</v>
      </c>
      <c r="E145" s="397">
        <v>5000</v>
      </c>
      <c r="F145" s="397">
        <v>4116</v>
      </c>
      <c r="G145" s="398">
        <v>5000</v>
      </c>
      <c r="H145" s="398">
        <v>1152</v>
      </c>
      <c r="I145" s="398">
        <v>1536</v>
      </c>
      <c r="J145" s="757">
        <v>5000</v>
      </c>
      <c r="K145" s="757">
        <v>5000</v>
      </c>
      <c r="L145" s="757">
        <v>-3330</v>
      </c>
      <c r="M145" s="801">
        <f>L145/K145</f>
        <v>-0.666</v>
      </c>
      <c r="N145" s="31"/>
      <c r="O145" s="10"/>
      <c r="P145" s="357"/>
      <c r="Q145" s="16"/>
      <c r="R145" s="29"/>
      <c r="T145" s="29"/>
      <c r="U145" s="29"/>
    </row>
    <row r="146" spans="2:21" ht="13.5">
      <c r="B146" s="478" t="s">
        <v>313</v>
      </c>
      <c r="C146" s="479"/>
      <c r="D146" s="423">
        <v>13904</v>
      </c>
      <c r="E146" s="422">
        <v>30000</v>
      </c>
      <c r="F146" s="422">
        <v>12739</v>
      </c>
      <c r="G146" s="423">
        <v>20000</v>
      </c>
      <c r="H146" s="423">
        <v>7156</v>
      </c>
      <c r="I146" s="423">
        <v>7506</v>
      </c>
      <c r="J146" s="782">
        <v>20000</v>
      </c>
      <c r="K146" s="782">
        <v>20000</v>
      </c>
      <c r="L146" s="782">
        <v>8050</v>
      </c>
      <c r="M146" s="802">
        <f aca="true" t="shared" si="13" ref="M146:M156">L146/K146</f>
        <v>0.4025</v>
      </c>
      <c r="N146" s="31"/>
      <c r="O146" s="10"/>
      <c r="P146" s="357"/>
      <c r="Q146" s="16"/>
      <c r="R146" s="29"/>
      <c r="T146" s="29"/>
      <c r="U146" s="29"/>
    </row>
    <row r="147" spans="2:21" ht="13.5">
      <c r="B147" s="476" t="s">
        <v>1</v>
      </c>
      <c r="C147" s="477">
        <v>25000</v>
      </c>
      <c r="D147" s="411">
        <v>800</v>
      </c>
      <c r="E147" s="410">
        <f>C147</f>
        <v>25000</v>
      </c>
      <c r="F147" s="410">
        <v>1990</v>
      </c>
      <c r="G147" s="411">
        <v>10000</v>
      </c>
      <c r="H147" s="411">
        <v>0</v>
      </c>
      <c r="I147" s="411"/>
      <c r="J147" s="754">
        <f>10000-5000</f>
        <v>5000</v>
      </c>
      <c r="K147" s="754">
        <f>10000-5000</f>
        <v>5000</v>
      </c>
      <c r="L147" s="754">
        <v>2481</v>
      </c>
      <c r="M147" s="800">
        <f t="shared" si="13"/>
        <v>0.4962</v>
      </c>
      <c r="N147" s="31"/>
      <c r="O147" s="10"/>
      <c r="P147" s="357"/>
      <c r="Q147" s="16"/>
      <c r="R147" s="29"/>
      <c r="T147" s="29"/>
      <c r="U147" s="29"/>
    </row>
    <row r="148" spans="2:21" ht="13.5">
      <c r="B148" s="473" t="s">
        <v>8</v>
      </c>
      <c r="C148" s="468">
        <v>36000</v>
      </c>
      <c r="D148" s="398">
        <v>39835</v>
      </c>
      <c r="E148" s="397">
        <f aca="true" t="shared" si="14" ref="E148:E155">C148</f>
        <v>36000</v>
      </c>
      <c r="F148" s="397">
        <v>80846</v>
      </c>
      <c r="G148" s="398">
        <v>50000</v>
      </c>
      <c r="H148" s="398">
        <v>5787</v>
      </c>
      <c r="I148" s="398">
        <v>6789</v>
      </c>
      <c r="J148" s="757">
        <v>50000</v>
      </c>
      <c r="K148" s="757">
        <v>50000</v>
      </c>
      <c r="L148" s="757">
        <v>-39271</v>
      </c>
      <c r="M148" s="801">
        <f t="shared" si="13"/>
        <v>-0.78542</v>
      </c>
      <c r="N148" s="31"/>
      <c r="O148" s="10"/>
      <c r="P148" s="357"/>
      <c r="Q148" s="16"/>
      <c r="R148" s="29"/>
      <c r="T148" s="29"/>
      <c r="U148" s="29"/>
    </row>
    <row r="149" spans="2:21" ht="13.5">
      <c r="B149" s="473" t="s">
        <v>9</v>
      </c>
      <c r="C149" s="468">
        <v>1000</v>
      </c>
      <c r="D149" s="398">
        <v>94</v>
      </c>
      <c r="E149" s="397">
        <f t="shared" si="14"/>
        <v>1000</v>
      </c>
      <c r="F149" s="397">
        <v>346</v>
      </c>
      <c r="G149" s="398">
        <v>15000</v>
      </c>
      <c r="H149" s="398">
        <v>201</v>
      </c>
      <c r="I149" s="399">
        <v>396</v>
      </c>
      <c r="J149" s="757">
        <f>15000-5000</f>
        <v>10000</v>
      </c>
      <c r="K149" s="757">
        <f>15000-5000</f>
        <v>10000</v>
      </c>
      <c r="L149" s="757">
        <v>0</v>
      </c>
      <c r="M149" s="801">
        <f t="shared" si="13"/>
        <v>0</v>
      </c>
      <c r="N149" s="31"/>
      <c r="O149" s="10"/>
      <c r="P149" s="357"/>
      <c r="Q149" s="16"/>
      <c r="R149" s="29"/>
      <c r="T149" s="29"/>
      <c r="U149" s="29"/>
    </row>
    <row r="150" spans="2:21" ht="13.5">
      <c r="B150" s="473" t="s">
        <v>16</v>
      </c>
      <c r="C150" s="468">
        <v>311000</v>
      </c>
      <c r="D150" s="398">
        <f>331542-68926+37020</f>
        <v>299636</v>
      </c>
      <c r="E150" s="397">
        <f t="shared" si="14"/>
        <v>311000</v>
      </c>
      <c r="F150" s="397">
        <v>140614</v>
      </c>
      <c r="G150" s="398">
        <v>250000</v>
      </c>
      <c r="H150" s="398">
        <v>17766</v>
      </c>
      <c r="I150" s="399">
        <v>34327</v>
      </c>
      <c r="J150" s="757">
        <f>250000-50000</f>
        <v>200000</v>
      </c>
      <c r="K150" s="757">
        <f>250000-50000</f>
        <v>200000</v>
      </c>
      <c r="L150" s="757">
        <f>21718-L152-L153-L154-L155</f>
        <v>8535</v>
      </c>
      <c r="M150" s="801">
        <f t="shared" si="13"/>
        <v>0.042675</v>
      </c>
      <c r="N150" s="31"/>
      <c r="O150" s="10"/>
      <c r="P150" s="357"/>
      <c r="Q150" s="124" t="s">
        <v>174</v>
      </c>
      <c r="R150" s="29"/>
      <c r="S150" s="516" t="s">
        <v>291</v>
      </c>
      <c r="T150" s="29"/>
      <c r="U150" s="29"/>
    </row>
    <row r="151" spans="2:21" ht="13.5" hidden="1">
      <c r="B151" s="473" t="s">
        <v>57</v>
      </c>
      <c r="C151" s="468">
        <v>2500</v>
      </c>
      <c r="D151" s="398">
        <v>2110</v>
      </c>
      <c r="E151" s="397">
        <f t="shared" si="14"/>
        <v>2500</v>
      </c>
      <c r="F151" s="397">
        <v>0</v>
      </c>
      <c r="G151" s="398"/>
      <c r="H151" s="398"/>
      <c r="I151" s="398"/>
      <c r="J151" s="757">
        <v>0</v>
      </c>
      <c r="K151" s="757">
        <v>0</v>
      </c>
      <c r="L151" s="757"/>
      <c r="M151" s="801" t="e">
        <f t="shared" si="13"/>
        <v>#DIV/0!</v>
      </c>
      <c r="N151" s="31"/>
      <c r="O151" s="10"/>
      <c r="P151" s="357"/>
      <c r="Q151" s="53"/>
      <c r="R151" s="29"/>
      <c r="T151" s="29"/>
      <c r="U151" s="29"/>
    </row>
    <row r="152" spans="1:21" ht="13.5">
      <c r="A152" s="124">
        <v>1315</v>
      </c>
      <c r="B152" s="473" t="s">
        <v>59</v>
      </c>
      <c r="C152" s="468">
        <v>25000</v>
      </c>
      <c r="D152" s="398">
        <v>30675</v>
      </c>
      <c r="E152" s="397">
        <f t="shared" si="14"/>
        <v>25000</v>
      </c>
      <c r="F152" s="397">
        <v>3754</v>
      </c>
      <c r="G152" s="398">
        <v>66000</v>
      </c>
      <c r="H152" s="398">
        <v>14826</v>
      </c>
      <c r="I152" s="399">
        <v>14826</v>
      </c>
      <c r="J152" s="757">
        <v>66000</v>
      </c>
      <c r="K152" s="757">
        <v>66000</v>
      </c>
      <c r="L152" s="757">
        <v>0</v>
      </c>
      <c r="M152" s="801">
        <f t="shared" si="13"/>
        <v>0</v>
      </c>
      <c r="N152" s="31"/>
      <c r="O152" s="10"/>
      <c r="P152" s="357"/>
      <c r="Q152" s="53">
        <f>J152</f>
        <v>66000</v>
      </c>
      <c r="R152" s="29"/>
      <c r="S152" s="515">
        <v>41000</v>
      </c>
      <c r="T152" s="29"/>
      <c r="U152" s="29"/>
    </row>
    <row r="153" spans="1:21" ht="13.5">
      <c r="A153" s="124">
        <v>1309</v>
      </c>
      <c r="B153" s="473" t="s">
        <v>223</v>
      </c>
      <c r="C153" s="468">
        <v>20000</v>
      </c>
      <c r="D153" s="398">
        <v>124373</v>
      </c>
      <c r="E153" s="397">
        <f t="shared" si="14"/>
        <v>20000</v>
      </c>
      <c r="F153" s="397">
        <v>127566</v>
      </c>
      <c r="G153" s="398">
        <v>135000</v>
      </c>
      <c r="H153" s="398">
        <v>38163</v>
      </c>
      <c r="I153" s="399">
        <v>55745</v>
      </c>
      <c r="J153" s="757">
        <v>135000</v>
      </c>
      <c r="K153" s="757">
        <v>135000</v>
      </c>
      <c r="L153" s="757">
        <v>13183</v>
      </c>
      <c r="M153" s="801">
        <f t="shared" si="13"/>
        <v>0.09765185185185185</v>
      </c>
      <c r="N153" s="31"/>
      <c r="O153" s="10"/>
      <c r="P153" s="357"/>
      <c r="Q153" s="53">
        <f>J153</f>
        <v>135000</v>
      </c>
      <c r="R153" s="29"/>
      <c r="S153" s="515">
        <v>95000</v>
      </c>
      <c r="T153" s="29"/>
      <c r="U153" s="29"/>
    </row>
    <row r="154" spans="1:21" ht="13.5">
      <c r="A154" s="124">
        <v>1327</v>
      </c>
      <c r="B154" s="473" t="s">
        <v>203</v>
      </c>
      <c r="C154" s="468">
        <v>15000</v>
      </c>
      <c r="D154" s="398">
        <v>14748</v>
      </c>
      <c r="E154" s="397">
        <f t="shared" si="14"/>
        <v>15000</v>
      </c>
      <c r="F154" s="397">
        <v>15574</v>
      </c>
      <c r="G154" s="398">
        <v>20000</v>
      </c>
      <c r="H154" s="398">
        <v>1005</v>
      </c>
      <c r="I154" s="399">
        <v>2797</v>
      </c>
      <c r="J154" s="757">
        <v>30000</v>
      </c>
      <c r="K154" s="757">
        <v>30000</v>
      </c>
      <c r="L154" s="757">
        <v>0</v>
      </c>
      <c r="M154" s="801">
        <f t="shared" si="13"/>
        <v>0</v>
      </c>
      <c r="N154" s="31"/>
      <c r="O154" s="10"/>
      <c r="P154" s="357"/>
      <c r="Q154" s="53">
        <f>J154</f>
        <v>30000</v>
      </c>
      <c r="R154" s="29"/>
      <c r="S154" s="515"/>
      <c r="T154" s="29"/>
      <c r="U154" s="29"/>
    </row>
    <row r="155" spans="1:21" ht="13.5">
      <c r="A155" s="124">
        <v>1317</v>
      </c>
      <c r="B155" s="473" t="s">
        <v>204</v>
      </c>
      <c r="C155" s="468">
        <v>30000</v>
      </c>
      <c r="D155" s="398"/>
      <c r="E155" s="397">
        <f t="shared" si="14"/>
        <v>30000</v>
      </c>
      <c r="F155" s="397">
        <v>39066</v>
      </c>
      <c r="G155" s="398">
        <v>32000</v>
      </c>
      <c r="H155" s="398">
        <v>0</v>
      </c>
      <c r="I155" s="399">
        <v>0</v>
      </c>
      <c r="J155" s="757">
        <v>32000</v>
      </c>
      <c r="K155" s="757">
        <v>32000</v>
      </c>
      <c r="L155" s="757">
        <v>0</v>
      </c>
      <c r="M155" s="801">
        <f t="shared" si="13"/>
        <v>0</v>
      </c>
      <c r="N155" s="31"/>
      <c r="O155" s="10"/>
      <c r="P155" s="357"/>
      <c r="Q155" s="53">
        <f>J155</f>
        <v>32000</v>
      </c>
      <c r="R155" s="29"/>
      <c r="S155" s="515">
        <v>12000</v>
      </c>
      <c r="T155" s="29"/>
      <c r="U155" s="29"/>
    </row>
    <row r="156" spans="2:21" ht="14.25" thickBot="1">
      <c r="B156" s="557" t="s">
        <v>10</v>
      </c>
      <c r="C156" s="558">
        <v>751129</v>
      </c>
      <c r="D156" s="551">
        <v>731469</v>
      </c>
      <c r="E156" s="552">
        <v>753477</v>
      </c>
      <c r="F156" s="552">
        <v>703845</v>
      </c>
      <c r="G156" s="551">
        <v>961688</v>
      </c>
      <c r="H156" s="551">
        <v>334787</v>
      </c>
      <c r="I156" s="551">
        <v>418880</v>
      </c>
      <c r="J156" s="779">
        <v>1131691</v>
      </c>
      <c r="K156" s="779">
        <v>1131691</v>
      </c>
      <c r="L156" s="779">
        <v>246101</v>
      </c>
      <c r="M156" s="822">
        <f t="shared" si="13"/>
        <v>0.21746307074987783</v>
      </c>
      <c r="N156" s="31"/>
      <c r="O156" s="10"/>
      <c r="P156" s="359"/>
      <c r="Q156" s="16"/>
      <c r="R156" s="29"/>
      <c r="S156" s="515"/>
      <c r="T156" s="29"/>
      <c r="U156" s="29"/>
    </row>
    <row r="157" spans="1:21" s="11" customFormat="1" ht="14.25" thickBot="1">
      <c r="A157" s="124"/>
      <c r="B157" s="475" t="s">
        <v>2</v>
      </c>
      <c r="C157" s="331">
        <f aca="true" t="shared" si="15" ref="C157:J157">SUM(C144:C156)</f>
        <v>1311629</v>
      </c>
      <c r="D157" s="365">
        <f t="shared" si="15"/>
        <v>1308429</v>
      </c>
      <c r="E157" s="77">
        <f t="shared" si="15"/>
        <v>1313977</v>
      </c>
      <c r="F157" s="77">
        <f t="shared" si="15"/>
        <v>1172587</v>
      </c>
      <c r="G157" s="365">
        <f t="shared" si="15"/>
        <v>1624688</v>
      </c>
      <c r="H157" s="365">
        <f t="shared" si="15"/>
        <v>454126</v>
      </c>
      <c r="I157" s="365">
        <f t="shared" si="15"/>
        <v>580390</v>
      </c>
      <c r="J157" s="783">
        <f t="shared" si="15"/>
        <v>1744691</v>
      </c>
      <c r="K157" s="783">
        <f>SUM(K144:K156)</f>
        <v>1744691</v>
      </c>
      <c r="L157" s="783">
        <f>SUM(L144:L156)</f>
        <v>246085</v>
      </c>
      <c r="M157" s="780"/>
      <c r="N157" s="51"/>
      <c r="O157" s="83"/>
      <c r="P157" s="124"/>
      <c r="Q157" s="511">
        <f>SUM(Q151:Q156)</f>
        <v>263000</v>
      </c>
      <c r="R157" s="52"/>
      <c r="S157" s="519">
        <f>SUM(S152:S156)</f>
        <v>148000</v>
      </c>
      <c r="T157" s="52"/>
      <c r="U157" s="52"/>
    </row>
    <row r="158" spans="2:21" ht="15.75" thickBot="1">
      <c r="B158" s="21"/>
      <c r="C158" s="23"/>
      <c r="D158" s="23"/>
      <c r="E158" s="22"/>
      <c r="F158" s="22"/>
      <c r="G158" s="362"/>
      <c r="H158" s="362"/>
      <c r="I158" s="362"/>
      <c r="K158" s="777"/>
      <c r="L158" s="777"/>
      <c r="M158" s="777"/>
      <c r="N158" s="31"/>
      <c r="O158" s="10"/>
      <c r="Q158" s="29"/>
      <c r="R158" s="29"/>
      <c r="T158" s="29"/>
      <c r="U158" s="29"/>
    </row>
    <row r="159" spans="2:21" ht="15.75" thickBot="1">
      <c r="B159" s="24" t="s">
        <v>3</v>
      </c>
      <c r="C159" s="23"/>
      <c r="D159" s="23"/>
      <c r="E159" s="22"/>
      <c r="F159" s="22"/>
      <c r="G159" s="362"/>
      <c r="H159" s="362"/>
      <c r="I159" s="362"/>
      <c r="K159" s="777"/>
      <c r="L159" s="777"/>
      <c r="M159" s="777"/>
      <c r="N159" s="31"/>
      <c r="O159" s="10"/>
      <c r="Q159" s="135"/>
      <c r="R159" s="29"/>
      <c r="T159" s="29"/>
      <c r="U159" s="29"/>
    </row>
    <row r="160" spans="2:21" ht="13.5">
      <c r="B160" s="471" t="s">
        <v>11</v>
      </c>
      <c r="C160" s="467">
        <v>265000</v>
      </c>
      <c r="D160" s="437">
        <v>421110</v>
      </c>
      <c r="E160" s="448">
        <f>C160</f>
        <v>265000</v>
      </c>
      <c r="F160" s="448">
        <v>272081</v>
      </c>
      <c r="G160" s="437">
        <v>345000</v>
      </c>
      <c r="H160" s="437">
        <v>73907</v>
      </c>
      <c r="I160" s="596">
        <v>102187</v>
      </c>
      <c r="J160" s="766">
        <v>380000</v>
      </c>
      <c r="K160" s="766">
        <v>380000</v>
      </c>
      <c r="L160" s="766">
        <v>9605</v>
      </c>
      <c r="M160" s="813">
        <f>L160/K160</f>
        <v>0.025276315789473685</v>
      </c>
      <c r="N160" s="31"/>
      <c r="O160" s="10"/>
      <c r="P160" s="356"/>
      <c r="Q160" s="29"/>
      <c r="R160" s="16" t="s">
        <v>263</v>
      </c>
      <c r="T160" s="29"/>
      <c r="U160" s="29"/>
    </row>
    <row r="161" spans="2:21" ht="13.5" hidden="1">
      <c r="B161" s="476" t="s">
        <v>227</v>
      </c>
      <c r="C161" s="477"/>
      <c r="D161" s="411"/>
      <c r="E161" s="410"/>
      <c r="F161" s="410"/>
      <c r="G161" s="411"/>
      <c r="H161" s="411"/>
      <c r="I161" s="412"/>
      <c r="J161" s="754"/>
      <c r="K161" s="754"/>
      <c r="L161" s="754"/>
      <c r="M161" s="814" t="e">
        <f>L161/K161</f>
        <v>#DIV/0!</v>
      </c>
      <c r="N161" s="31"/>
      <c r="O161" s="10"/>
      <c r="P161" s="414"/>
      <c r="Q161" s="29"/>
      <c r="R161" s="29"/>
      <c r="T161" s="29"/>
      <c r="U161" s="29"/>
    </row>
    <row r="162" spans="2:21" ht="13.5">
      <c r="B162" s="476" t="s">
        <v>12</v>
      </c>
      <c r="C162" s="477"/>
      <c r="D162" s="411"/>
      <c r="E162" s="410"/>
      <c r="F162" s="410">
        <v>27276</v>
      </c>
      <c r="G162" s="411"/>
      <c r="H162" s="411"/>
      <c r="I162" s="412"/>
      <c r="J162" s="754"/>
      <c r="K162" s="754"/>
      <c r="L162" s="754"/>
      <c r="M162" s="818"/>
      <c r="N162" s="31"/>
      <c r="O162" s="10"/>
      <c r="P162" s="414"/>
      <c r="Q162" s="29"/>
      <c r="R162" s="29"/>
      <c r="T162" s="29"/>
      <c r="U162" s="29"/>
    </row>
    <row r="163" spans="2:21" ht="13.5">
      <c r="B163" s="559" t="s">
        <v>4</v>
      </c>
      <c r="C163" s="560">
        <v>954129</v>
      </c>
      <c r="D163" s="543">
        <v>899000</v>
      </c>
      <c r="E163" s="544">
        <v>956477</v>
      </c>
      <c r="F163" s="544">
        <v>956477</v>
      </c>
      <c r="G163" s="543">
        <v>1174688</v>
      </c>
      <c r="H163" s="543">
        <v>470951</v>
      </c>
      <c r="I163" s="543">
        <v>565142</v>
      </c>
      <c r="J163" s="767">
        <v>1249691</v>
      </c>
      <c r="K163" s="767">
        <v>1249691</v>
      </c>
      <c r="L163" s="767">
        <v>341172</v>
      </c>
      <c r="M163" s="815">
        <f>L163/K163</f>
        <v>0.27300508685747116</v>
      </c>
      <c r="N163" s="31"/>
      <c r="O163" s="10"/>
      <c r="P163" s="357"/>
      <c r="Q163" s="29"/>
      <c r="R163" s="29"/>
      <c r="T163" s="29"/>
      <c r="U163" s="29"/>
    </row>
    <row r="164" spans="2:21" ht="12.75" hidden="1">
      <c r="B164" s="574" t="s">
        <v>60</v>
      </c>
      <c r="C164" s="575">
        <v>2500</v>
      </c>
      <c r="D164" s="565">
        <v>2500</v>
      </c>
      <c r="E164" s="566">
        <f>C164</f>
        <v>2500</v>
      </c>
      <c r="F164" s="566">
        <v>2500</v>
      </c>
      <c r="G164" s="399"/>
      <c r="H164" s="399"/>
      <c r="I164" s="399"/>
      <c r="J164" s="770"/>
      <c r="K164" s="770"/>
      <c r="L164" s="770"/>
      <c r="M164" s="816"/>
      <c r="N164" s="31"/>
      <c r="O164" s="10"/>
      <c r="P164" s="357"/>
      <c r="Q164" s="29"/>
      <c r="R164" s="29"/>
      <c r="T164" s="29"/>
      <c r="U164" s="29"/>
    </row>
    <row r="165" spans="2:21" ht="13.5">
      <c r="B165" s="574" t="s">
        <v>329</v>
      </c>
      <c r="C165" s="575">
        <v>20000</v>
      </c>
      <c r="D165" s="565">
        <v>20000</v>
      </c>
      <c r="E165" s="566">
        <f>C165</f>
        <v>20000</v>
      </c>
      <c r="F165" s="566">
        <v>20000</v>
      </c>
      <c r="G165" s="565">
        <v>40000</v>
      </c>
      <c r="H165" s="565"/>
      <c r="I165" s="565">
        <v>28000</v>
      </c>
      <c r="J165" s="771">
        <v>40000</v>
      </c>
      <c r="K165" s="771">
        <v>40000</v>
      </c>
      <c r="L165" s="771">
        <v>10000</v>
      </c>
      <c r="M165" s="810">
        <f>L165/K165</f>
        <v>0.25</v>
      </c>
      <c r="N165" s="31"/>
      <c r="O165" s="10"/>
      <c r="P165" s="357"/>
      <c r="Q165" s="29"/>
      <c r="R165" s="16">
        <f>J165</f>
        <v>40000</v>
      </c>
      <c r="T165" s="29"/>
      <c r="U165" s="29"/>
    </row>
    <row r="166" spans="2:21" ht="13.5">
      <c r="B166" s="574" t="s">
        <v>330</v>
      </c>
      <c r="C166" s="575">
        <v>25000</v>
      </c>
      <c r="D166" s="565">
        <v>25000</v>
      </c>
      <c r="E166" s="566">
        <f>C166</f>
        <v>25000</v>
      </c>
      <c r="F166" s="566">
        <v>25000</v>
      </c>
      <c r="G166" s="565">
        <v>25000</v>
      </c>
      <c r="H166" s="565"/>
      <c r="I166" s="565"/>
      <c r="J166" s="771">
        <v>25000</v>
      </c>
      <c r="K166" s="771">
        <v>25000</v>
      </c>
      <c r="L166" s="771">
        <v>0</v>
      </c>
      <c r="M166" s="810">
        <f>L166/K166</f>
        <v>0</v>
      </c>
      <c r="N166" s="31"/>
      <c r="O166" s="10"/>
      <c r="P166" s="357"/>
      <c r="Q166" s="29"/>
      <c r="R166" s="16">
        <f>J166</f>
        <v>25000</v>
      </c>
      <c r="T166" s="29"/>
      <c r="U166" s="29"/>
    </row>
    <row r="167" spans="2:21" ht="13.5" hidden="1">
      <c r="B167" s="574" t="s">
        <v>205</v>
      </c>
      <c r="C167" s="575"/>
      <c r="D167" s="565">
        <v>80000</v>
      </c>
      <c r="E167" s="439"/>
      <c r="F167" s="439"/>
      <c r="G167" s="399"/>
      <c r="H167" s="399"/>
      <c r="I167" s="399"/>
      <c r="J167" s="770"/>
      <c r="K167" s="770"/>
      <c r="L167" s="770"/>
      <c r="M167" s="810" t="e">
        <f>L167/K167</f>
        <v>#DIV/0!</v>
      </c>
      <c r="N167" s="31"/>
      <c r="O167" s="10"/>
      <c r="P167" s="357"/>
      <c r="Q167" s="29"/>
      <c r="R167" s="16"/>
      <c r="T167" s="29"/>
      <c r="U167" s="29"/>
    </row>
    <row r="168" spans="2:21" ht="13.5">
      <c r="B168" s="574" t="s">
        <v>331</v>
      </c>
      <c r="C168" s="575">
        <v>15000</v>
      </c>
      <c r="D168" s="565" t="s">
        <v>207</v>
      </c>
      <c r="E168" s="566">
        <f>C168</f>
        <v>15000</v>
      </c>
      <c r="F168" s="566">
        <v>15000</v>
      </c>
      <c r="G168" s="565">
        <v>20000</v>
      </c>
      <c r="H168" s="565"/>
      <c r="I168" s="565"/>
      <c r="J168" s="771">
        <v>30000</v>
      </c>
      <c r="K168" s="771">
        <v>30000</v>
      </c>
      <c r="L168" s="771">
        <v>0</v>
      </c>
      <c r="M168" s="810">
        <f>L168/K168</f>
        <v>0</v>
      </c>
      <c r="N168" s="31"/>
      <c r="O168" s="10"/>
      <c r="P168" s="357"/>
      <c r="Q168" s="29"/>
      <c r="R168" s="16">
        <f>J168</f>
        <v>30000</v>
      </c>
      <c r="T168" s="29"/>
      <c r="U168" s="29"/>
    </row>
    <row r="169" spans="2:21" ht="14.25" thickBot="1">
      <c r="B169" s="572" t="s">
        <v>332</v>
      </c>
      <c r="C169" s="573">
        <v>30000</v>
      </c>
      <c r="D169" s="565"/>
      <c r="E169" s="566">
        <f>C169</f>
        <v>30000</v>
      </c>
      <c r="F169" s="566">
        <v>30000</v>
      </c>
      <c r="G169" s="565">
        <v>20000</v>
      </c>
      <c r="H169" s="565"/>
      <c r="I169" s="565"/>
      <c r="J169" s="771">
        <v>20000</v>
      </c>
      <c r="K169" s="771">
        <v>20000</v>
      </c>
      <c r="L169" s="771">
        <v>0</v>
      </c>
      <c r="M169" s="817">
        <f>L169/K169</f>
        <v>0</v>
      </c>
      <c r="N169" s="31"/>
      <c r="O169" s="10"/>
      <c r="P169" s="359"/>
      <c r="Q169" s="29"/>
      <c r="R169" s="16">
        <f>J169</f>
        <v>20000</v>
      </c>
      <c r="T169" s="29"/>
      <c r="U169" s="29"/>
    </row>
    <row r="170" spans="2:21" ht="14.25" hidden="1" thickBot="1">
      <c r="B170" s="523" t="s">
        <v>209</v>
      </c>
      <c r="C170" s="524"/>
      <c r="D170" s="408">
        <v>12500</v>
      </c>
      <c r="E170" s="482"/>
      <c r="F170" s="482"/>
      <c r="G170" s="408"/>
      <c r="H170" s="408"/>
      <c r="I170" s="408"/>
      <c r="J170" s="761"/>
      <c r="K170" s="761"/>
      <c r="L170" s="761"/>
      <c r="M170" s="812"/>
      <c r="N170" s="31"/>
      <c r="O170" s="10"/>
      <c r="P170" s="355"/>
      <c r="T170" s="29"/>
      <c r="U170" s="29"/>
    </row>
    <row r="171" spans="1:21" s="11" customFormat="1" ht="14.25" thickBot="1">
      <c r="A171" s="124"/>
      <c r="B171" s="490" t="s">
        <v>5</v>
      </c>
      <c r="C171" s="173">
        <f aca="true" t="shared" si="16" ref="C171:J171">SUM(C160:C170)</f>
        <v>1311629</v>
      </c>
      <c r="D171" s="360">
        <f t="shared" si="16"/>
        <v>1460110</v>
      </c>
      <c r="E171" s="149">
        <f t="shared" si="16"/>
        <v>1313977</v>
      </c>
      <c r="F171" s="149">
        <f t="shared" si="16"/>
        <v>1348334</v>
      </c>
      <c r="G171" s="360">
        <f t="shared" si="16"/>
        <v>1624688</v>
      </c>
      <c r="H171" s="360">
        <f t="shared" si="16"/>
        <v>544858</v>
      </c>
      <c r="I171" s="360">
        <f t="shared" si="16"/>
        <v>695329</v>
      </c>
      <c r="J171" s="774">
        <f t="shared" si="16"/>
        <v>1744691</v>
      </c>
      <c r="K171" s="774">
        <f>SUM(K160:K170)</f>
        <v>1744691</v>
      </c>
      <c r="L171" s="774">
        <f>SUM(L160:L170)</f>
        <v>360777</v>
      </c>
      <c r="M171" s="774"/>
      <c r="N171" s="51"/>
      <c r="O171" s="83"/>
      <c r="P171" s="124"/>
      <c r="R171" s="510">
        <f>SUM(R165:R170)</f>
        <v>115000</v>
      </c>
      <c r="S171" s="500"/>
      <c r="T171" s="52"/>
      <c r="U171" s="52"/>
    </row>
    <row r="172" spans="1:21" s="11" customFormat="1" ht="9" customHeight="1" thickBot="1">
      <c r="A172" s="124"/>
      <c r="B172" s="137"/>
      <c r="C172" s="51"/>
      <c r="D172" s="51"/>
      <c r="E172" s="5"/>
      <c r="F172" s="5"/>
      <c r="G172" s="367"/>
      <c r="H172" s="367"/>
      <c r="I172" s="367"/>
      <c r="J172" s="609"/>
      <c r="K172" s="609"/>
      <c r="L172" s="609"/>
      <c r="M172" s="609"/>
      <c r="N172" s="51"/>
      <c r="O172" s="83"/>
      <c r="P172" s="124"/>
      <c r="S172" s="500"/>
      <c r="T172" s="52"/>
      <c r="U172" s="52"/>
    </row>
    <row r="173" spans="1:21" s="11" customFormat="1" ht="15" thickBot="1" thickTop="1">
      <c r="A173" s="124"/>
      <c r="B173" s="340" t="s">
        <v>169</v>
      </c>
      <c r="C173" s="341"/>
      <c r="D173" s="343">
        <f aca="true" t="shared" si="17" ref="D173:J173">D171-D157</f>
        <v>151681</v>
      </c>
      <c r="E173" s="343">
        <f t="shared" si="17"/>
        <v>0</v>
      </c>
      <c r="F173" s="343">
        <f t="shared" si="17"/>
        <v>175747</v>
      </c>
      <c r="G173" s="343">
        <f t="shared" si="17"/>
        <v>0</v>
      </c>
      <c r="H173" s="343">
        <f t="shared" si="17"/>
        <v>90732</v>
      </c>
      <c r="I173" s="343">
        <f t="shared" si="17"/>
        <v>114939</v>
      </c>
      <c r="J173" s="776">
        <f t="shared" si="17"/>
        <v>0</v>
      </c>
      <c r="K173" s="776">
        <f>K171-K157</f>
        <v>0</v>
      </c>
      <c r="L173" s="776">
        <f>L171-L157</f>
        <v>114692</v>
      </c>
      <c r="M173" s="776"/>
      <c r="N173" s="51"/>
      <c r="O173" s="83"/>
      <c r="P173" s="124"/>
      <c r="S173" s="500"/>
      <c r="T173" s="52"/>
      <c r="U173" s="52"/>
    </row>
    <row r="174" spans="1:21" s="11" customFormat="1" ht="14.25" thickTop="1">
      <c r="A174" s="124"/>
      <c r="B174" s="137"/>
      <c r="C174" s="51"/>
      <c r="D174" s="51"/>
      <c r="E174" s="5"/>
      <c r="F174" s="5"/>
      <c r="G174" s="367"/>
      <c r="H174" s="367"/>
      <c r="I174" s="367"/>
      <c r="J174" s="609"/>
      <c r="K174" s="85"/>
      <c r="L174" s="85"/>
      <c r="M174" s="85"/>
      <c r="N174" s="51"/>
      <c r="O174" s="83"/>
      <c r="P174" s="124"/>
      <c r="S174" s="500"/>
      <c r="T174" s="52"/>
      <c r="U174" s="52"/>
    </row>
    <row r="175" spans="1:21" s="6" customFormat="1" ht="18" thickBot="1">
      <c r="A175" s="63"/>
      <c r="B175" s="875" t="s">
        <v>62</v>
      </c>
      <c r="C175" s="875"/>
      <c r="D175" s="875"/>
      <c r="E175" s="875"/>
      <c r="F175" s="875"/>
      <c r="G175" s="875"/>
      <c r="H175" s="875"/>
      <c r="I175" s="875"/>
      <c r="J175" s="875"/>
      <c r="K175" s="875"/>
      <c r="L175" s="875"/>
      <c r="M175" s="875"/>
      <c r="N175" s="875"/>
      <c r="O175" s="875"/>
      <c r="P175" s="63"/>
      <c r="S175" s="7"/>
      <c r="T175" s="25"/>
      <c r="U175" s="25"/>
    </row>
    <row r="176" spans="1:19" s="25" customFormat="1" ht="27.75">
      <c r="A176" s="68"/>
      <c r="B176" s="454" t="s">
        <v>0</v>
      </c>
      <c r="C176" s="93" t="s">
        <v>299</v>
      </c>
      <c r="D176" s="350" t="s">
        <v>137</v>
      </c>
      <c r="E176" s="93" t="s">
        <v>299</v>
      </c>
      <c r="F176" s="350" t="s">
        <v>137</v>
      </c>
      <c r="G176" s="93" t="s">
        <v>299</v>
      </c>
      <c r="H176" s="350" t="s">
        <v>338</v>
      </c>
      <c r="I176" s="350" t="s">
        <v>338</v>
      </c>
      <c r="J176" s="749" t="s">
        <v>411</v>
      </c>
      <c r="K176" s="749" t="s">
        <v>412</v>
      </c>
      <c r="L176" s="794" t="s">
        <v>414</v>
      </c>
      <c r="M176" s="181" t="s">
        <v>415</v>
      </c>
      <c r="N176" s="1"/>
      <c r="O176" s="41"/>
      <c r="P176" s="351" t="s">
        <v>136</v>
      </c>
      <c r="S176" s="57"/>
    </row>
    <row r="177" spans="1:19" s="25" customFormat="1" ht="15.75" thickBot="1">
      <c r="A177" s="68"/>
      <c r="B177" s="455"/>
      <c r="C177" s="539">
        <v>2015</v>
      </c>
      <c r="D177" s="353">
        <v>2015</v>
      </c>
      <c r="E177" s="540">
        <v>2016</v>
      </c>
      <c r="F177" s="540">
        <v>2016</v>
      </c>
      <c r="G177" s="353">
        <v>2017</v>
      </c>
      <c r="H177" s="418" t="s">
        <v>339</v>
      </c>
      <c r="I177" s="418" t="s">
        <v>359</v>
      </c>
      <c r="J177" s="395" t="s">
        <v>300</v>
      </c>
      <c r="K177" s="395" t="s">
        <v>300</v>
      </c>
      <c r="L177" s="795" t="s">
        <v>413</v>
      </c>
      <c r="M177" s="182"/>
      <c r="N177" s="1"/>
      <c r="O177" s="41"/>
      <c r="P177" s="355"/>
      <c r="S177" s="57"/>
    </row>
    <row r="178" spans="1:19" s="25" customFormat="1" ht="13.5">
      <c r="A178" s="68"/>
      <c r="B178" s="476" t="s">
        <v>1</v>
      </c>
      <c r="C178" s="477">
        <v>10000</v>
      </c>
      <c r="D178" s="411">
        <v>0</v>
      </c>
      <c r="E178" s="410">
        <f>C178</f>
        <v>10000</v>
      </c>
      <c r="F178" s="410">
        <v>0</v>
      </c>
      <c r="G178" s="411">
        <v>5000</v>
      </c>
      <c r="H178" s="411">
        <v>0</v>
      </c>
      <c r="I178" s="411"/>
      <c r="J178" s="754">
        <v>5000</v>
      </c>
      <c r="K178" s="754">
        <v>5000</v>
      </c>
      <c r="L178" s="754">
        <v>0</v>
      </c>
      <c r="M178" s="813">
        <f>L178/K178</f>
        <v>0</v>
      </c>
      <c r="N178" s="31"/>
      <c r="O178" s="10"/>
      <c r="P178" s="374"/>
      <c r="S178" s="57"/>
    </row>
    <row r="179" spans="1:19" s="25" customFormat="1" ht="13.5">
      <c r="A179" s="68"/>
      <c r="B179" s="473" t="s">
        <v>8</v>
      </c>
      <c r="C179" s="468">
        <v>40000</v>
      </c>
      <c r="D179" s="398">
        <v>12723</v>
      </c>
      <c r="E179" s="397">
        <f>C179</f>
        <v>40000</v>
      </c>
      <c r="F179" s="397">
        <v>71068</v>
      </c>
      <c r="G179" s="398">
        <v>20000</v>
      </c>
      <c r="H179" s="398">
        <v>12003</v>
      </c>
      <c r="I179" s="398">
        <v>1728</v>
      </c>
      <c r="J179" s="757">
        <v>20000</v>
      </c>
      <c r="K179" s="757">
        <v>20000</v>
      </c>
      <c r="L179" s="757">
        <f>13742-12686</f>
        <v>1056</v>
      </c>
      <c r="M179" s="814">
        <f>L179/K179</f>
        <v>0.0528</v>
      </c>
      <c r="N179" s="31"/>
      <c r="O179" s="10"/>
      <c r="P179" s="375"/>
      <c r="S179" s="57"/>
    </row>
    <row r="180" spans="1:19" s="25" customFormat="1" ht="13.5">
      <c r="A180" s="68"/>
      <c r="B180" s="473" t="s">
        <v>9</v>
      </c>
      <c r="C180" s="468">
        <v>1000</v>
      </c>
      <c r="D180" s="398">
        <v>115</v>
      </c>
      <c r="E180" s="397">
        <f>C180</f>
        <v>1000</v>
      </c>
      <c r="F180" s="397">
        <v>64</v>
      </c>
      <c r="G180" s="398">
        <v>5000</v>
      </c>
      <c r="H180" s="398">
        <v>3630</v>
      </c>
      <c r="I180" s="398">
        <v>3630</v>
      </c>
      <c r="J180" s="757">
        <v>5000</v>
      </c>
      <c r="K180" s="757">
        <v>5000</v>
      </c>
      <c r="L180" s="757">
        <v>0</v>
      </c>
      <c r="M180" s="814">
        <f aca="true" t="shared" si="18" ref="M180:M185">L180/K180</f>
        <v>0</v>
      </c>
      <c r="N180" s="31"/>
      <c r="O180" s="10"/>
      <c r="P180" s="375"/>
      <c r="S180" s="57"/>
    </row>
    <row r="181" spans="1:19" s="25" customFormat="1" ht="13.5">
      <c r="A181" s="68"/>
      <c r="B181" s="473" t="s">
        <v>16</v>
      </c>
      <c r="C181" s="468">
        <v>95000</v>
      </c>
      <c r="D181" s="398"/>
      <c r="E181" s="397">
        <f>C181</f>
        <v>95000</v>
      </c>
      <c r="F181" s="397">
        <v>3014</v>
      </c>
      <c r="G181" s="398">
        <v>22000</v>
      </c>
      <c r="H181" s="398">
        <v>3988</v>
      </c>
      <c r="I181" s="398">
        <v>6086</v>
      </c>
      <c r="J181" s="757">
        <f>22000-2000</f>
        <v>20000</v>
      </c>
      <c r="K181" s="757">
        <f>22000-2000</f>
        <v>20000</v>
      </c>
      <c r="L181" s="757">
        <f>33432-L183-L184-L185+12686</f>
        <v>3028</v>
      </c>
      <c r="M181" s="814">
        <f t="shared" si="18"/>
        <v>0.1514</v>
      </c>
      <c r="N181" s="31"/>
      <c r="O181" s="10"/>
      <c r="P181" s="375"/>
      <c r="S181" s="57"/>
    </row>
    <row r="182" spans="1:19" s="25" customFormat="1" ht="13.5">
      <c r="A182" s="68"/>
      <c r="B182" s="561" t="s">
        <v>10</v>
      </c>
      <c r="C182" s="562">
        <v>612871</v>
      </c>
      <c r="D182" s="547">
        <v>618557</v>
      </c>
      <c r="E182" s="548">
        <v>615136</v>
      </c>
      <c r="F182" s="548">
        <v>562379</v>
      </c>
      <c r="G182" s="547">
        <v>846137</v>
      </c>
      <c r="H182" s="547">
        <v>342381</v>
      </c>
      <c r="I182" s="547">
        <v>413867</v>
      </c>
      <c r="J182" s="784">
        <v>1108312</v>
      </c>
      <c r="K182" s="784">
        <v>1108312</v>
      </c>
      <c r="L182" s="784">
        <v>227619</v>
      </c>
      <c r="M182" s="820">
        <f t="shared" si="18"/>
        <v>0.20537447938847544</v>
      </c>
      <c r="N182" s="31"/>
      <c r="O182" s="10"/>
      <c r="P182" s="357"/>
      <c r="Q182" s="124" t="s">
        <v>174</v>
      </c>
      <c r="S182" s="57"/>
    </row>
    <row r="183" spans="1:19" s="25" customFormat="1" ht="13.5">
      <c r="A183" s="68">
        <v>1351</v>
      </c>
      <c r="B183" s="473" t="s">
        <v>65</v>
      </c>
      <c r="C183" s="468">
        <v>90000</v>
      </c>
      <c r="D183" s="398">
        <v>70399</v>
      </c>
      <c r="E183" s="397">
        <f>C183</f>
        <v>90000</v>
      </c>
      <c r="F183" s="397">
        <v>85637</v>
      </c>
      <c r="G183" s="398">
        <v>90000</v>
      </c>
      <c r="H183" s="398">
        <v>8800</v>
      </c>
      <c r="I183" s="398">
        <v>8800</v>
      </c>
      <c r="J183" s="757">
        <v>80000</v>
      </c>
      <c r="K183" s="757">
        <v>80000</v>
      </c>
      <c r="L183" s="757">
        <v>0</v>
      </c>
      <c r="M183" s="814">
        <f t="shared" si="18"/>
        <v>0</v>
      </c>
      <c r="N183" s="31"/>
      <c r="O183" s="10"/>
      <c r="P183" s="357"/>
      <c r="Q183" s="57">
        <f>J183</f>
        <v>80000</v>
      </c>
      <c r="S183" s="57"/>
    </row>
    <row r="184" spans="1:19" s="25" customFormat="1" ht="13.5">
      <c r="A184" s="68">
        <v>1350</v>
      </c>
      <c r="B184" s="473" t="s">
        <v>210</v>
      </c>
      <c r="C184" s="468">
        <v>30000</v>
      </c>
      <c r="D184" s="398">
        <v>16000</v>
      </c>
      <c r="E184" s="397">
        <f>C184</f>
        <v>30000</v>
      </c>
      <c r="F184" s="397">
        <v>23774</v>
      </c>
      <c r="G184" s="398">
        <v>30000</v>
      </c>
      <c r="H184" s="398">
        <v>16444</v>
      </c>
      <c r="I184" s="398">
        <v>16444</v>
      </c>
      <c r="J184" s="757">
        <v>30000</v>
      </c>
      <c r="K184" s="757">
        <v>30000</v>
      </c>
      <c r="L184" s="757">
        <v>4508</v>
      </c>
      <c r="M184" s="814">
        <f t="shared" si="18"/>
        <v>0.15026666666666666</v>
      </c>
      <c r="N184" s="31"/>
      <c r="O184" s="10"/>
      <c r="P184" s="357"/>
      <c r="Q184" s="57">
        <f>C184</f>
        <v>30000</v>
      </c>
      <c r="S184" s="57"/>
    </row>
    <row r="185" spans="1:19" s="25" customFormat="1" ht="14.25" thickBot="1">
      <c r="A185" s="68">
        <v>1352</v>
      </c>
      <c r="B185" s="493" t="s">
        <v>63</v>
      </c>
      <c r="C185" s="479">
        <v>260000</v>
      </c>
      <c r="D185" s="492">
        <v>110000</v>
      </c>
      <c r="E185" s="422">
        <f>C185</f>
        <v>260000</v>
      </c>
      <c r="F185" s="538">
        <v>236919</v>
      </c>
      <c r="G185" s="492">
        <v>200000</v>
      </c>
      <c r="H185" s="492">
        <v>49530</v>
      </c>
      <c r="I185" s="492">
        <v>62482</v>
      </c>
      <c r="J185" s="782">
        <v>180000</v>
      </c>
      <c r="K185" s="782">
        <v>180000</v>
      </c>
      <c r="L185" s="782">
        <v>38582</v>
      </c>
      <c r="M185" s="819">
        <f t="shared" si="18"/>
        <v>0.21434444444444445</v>
      </c>
      <c r="N185" s="31"/>
      <c r="O185" s="10"/>
      <c r="P185" s="359"/>
      <c r="Q185" s="57">
        <f>J185</f>
        <v>180000</v>
      </c>
      <c r="S185" s="57"/>
    </row>
    <row r="186" spans="1:19" s="25" customFormat="1" ht="14.25" thickBot="1">
      <c r="A186" s="68"/>
      <c r="B186" s="475" t="s">
        <v>2</v>
      </c>
      <c r="C186" s="173">
        <f aca="true" t="shared" si="19" ref="C186:J186">SUM(C178:C185)</f>
        <v>1138871</v>
      </c>
      <c r="D186" s="360">
        <f t="shared" si="19"/>
        <v>827794</v>
      </c>
      <c r="E186" s="149">
        <f t="shared" si="19"/>
        <v>1141136</v>
      </c>
      <c r="F186" s="149">
        <f t="shared" si="19"/>
        <v>982855</v>
      </c>
      <c r="G186" s="360">
        <f t="shared" si="19"/>
        <v>1218137</v>
      </c>
      <c r="H186" s="360">
        <f t="shared" si="19"/>
        <v>436776</v>
      </c>
      <c r="I186" s="360">
        <f t="shared" si="19"/>
        <v>513037</v>
      </c>
      <c r="J186" s="774">
        <f t="shared" si="19"/>
        <v>1448312</v>
      </c>
      <c r="K186" s="774">
        <f>SUM(K178:K185)</f>
        <v>1448312</v>
      </c>
      <c r="L186" s="774">
        <f>SUM(L178:L185)</f>
        <v>274793</v>
      </c>
      <c r="M186" s="774" t="s">
        <v>173</v>
      </c>
      <c r="N186" s="51"/>
      <c r="O186" s="83"/>
      <c r="P186" s="68"/>
      <c r="Q186" s="509">
        <f>SUM(Q183:Q185)</f>
        <v>290000</v>
      </c>
      <c r="S186" s="57"/>
    </row>
    <row r="187" spans="1:19" s="29" customFormat="1" ht="15.75" thickBot="1">
      <c r="A187" s="278"/>
      <c r="B187" s="21"/>
      <c r="C187" s="23"/>
      <c r="D187" s="362"/>
      <c r="E187" s="22"/>
      <c r="F187" s="22"/>
      <c r="G187" s="362"/>
      <c r="H187" s="362"/>
      <c r="I187" s="362"/>
      <c r="J187" s="777"/>
      <c r="K187" s="777"/>
      <c r="L187" s="777"/>
      <c r="M187" s="777"/>
      <c r="N187" s="31"/>
      <c r="O187" s="10"/>
      <c r="P187" s="278"/>
      <c r="S187" s="134"/>
    </row>
    <row r="188" spans="1:19" s="29" customFormat="1" ht="15.75" thickBot="1">
      <c r="A188" s="278"/>
      <c r="B188" s="24" t="s">
        <v>3</v>
      </c>
      <c r="C188" s="23"/>
      <c r="D188" s="362"/>
      <c r="E188" s="22"/>
      <c r="F188" s="22"/>
      <c r="G188" s="362"/>
      <c r="H188" s="362"/>
      <c r="I188" s="362"/>
      <c r="J188" s="777"/>
      <c r="K188" s="777"/>
      <c r="L188" s="777"/>
      <c r="M188" s="777"/>
      <c r="N188" s="31"/>
      <c r="O188" s="10"/>
      <c r="P188" s="278"/>
      <c r="R188" s="16" t="s">
        <v>263</v>
      </c>
      <c r="S188" s="134"/>
    </row>
    <row r="189" spans="1:19" s="29" customFormat="1" ht="13.5">
      <c r="A189" s="278"/>
      <c r="B189" s="568" t="s">
        <v>333</v>
      </c>
      <c r="C189" s="569">
        <v>30000</v>
      </c>
      <c r="D189" s="570">
        <v>16000</v>
      </c>
      <c r="E189" s="571">
        <f>C189</f>
        <v>30000</v>
      </c>
      <c r="F189" s="571">
        <v>30000</v>
      </c>
      <c r="G189" s="570">
        <v>30000</v>
      </c>
      <c r="H189" s="570">
        <v>10000</v>
      </c>
      <c r="I189" s="570">
        <v>20000</v>
      </c>
      <c r="J189" s="785">
        <v>30000</v>
      </c>
      <c r="K189" s="785">
        <v>30000</v>
      </c>
      <c r="L189" s="785">
        <v>30000</v>
      </c>
      <c r="M189" s="809">
        <f>L189/K189</f>
        <v>1</v>
      </c>
      <c r="N189" s="31"/>
      <c r="O189" s="10"/>
      <c r="P189" s="376"/>
      <c r="R189" s="16">
        <f>J189</f>
        <v>30000</v>
      </c>
      <c r="S189" s="134"/>
    </row>
    <row r="190" spans="1:19" s="29" customFormat="1" ht="13.5">
      <c r="A190" s="278"/>
      <c r="B190" s="572" t="s">
        <v>334</v>
      </c>
      <c r="C190" s="573">
        <v>90000</v>
      </c>
      <c r="D190" s="565">
        <v>70399</v>
      </c>
      <c r="E190" s="566">
        <f>C190</f>
        <v>90000</v>
      </c>
      <c r="F190" s="566">
        <v>90000</v>
      </c>
      <c r="G190" s="565">
        <v>90000</v>
      </c>
      <c r="H190" s="565">
        <v>0</v>
      </c>
      <c r="I190" s="565">
        <v>10000</v>
      </c>
      <c r="J190" s="771">
        <v>80000</v>
      </c>
      <c r="K190" s="771">
        <v>80000</v>
      </c>
      <c r="L190" s="771">
        <v>0</v>
      </c>
      <c r="M190" s="810">
        <f>L190/K190</f>
        <v>0</v>
      </c>
      <c r="N190" s="31"/>
      <c r="O190" s="10"/>
      <c r="P190" s="364"/>
      <c r="R190" s="16">
        <f>J190</f>
        <v>80000</v>
      </c>
      <c r="S190" s="134"/>
    </row>
    <row r="191" spans="1:19" s="29" customFormat="1" ht="13.5">
      <c r="A191" s="278"/>
      <c r="B191" s="572" t="s">
        <v>335</v>
      </c>
      <c r="C191" s="573">
        <v>260000</v>
      </c>
      <c r="D191" s="565">
        <v>110000</v>
      </c>
      <c r="E191" s="566">
        <f>C191</f>
        <v>260000</v>
      </c>
      <c r="F191" s="566">
        <v>260000</v>
      </c>
      <c r="G191" s="565">
        <v>200000</v>
      </c>
      <c r="H191" s="565">
        <v>20000</v>
      </c>
      <c r="I191" s="565">
        <v>20000</v>
      </c>
      <c r="J191" s="771">
        <v>180000</v>
      </c>
      <c r="K191" s="771">
        <v>180000</v>
      </c>
      <c r="L191" s="771">
        <v>40000</v>
      </c>
      <c r="M191" s="810">
        <f>L191/K191</f>
        <v>0.2222222222222222</v>
      </c>
      <c r="N191" s="31"/>
      <c r="O191" s="10"/>
      <c r="P191" s="364"/>
      <c r="R191" s="16">
        <f>J191</f>
        <v>180000</v>
      </c>
      <c r="S191" s="134"/>
    </row>
    <row r="192" spans="1:19" s="29" customFormat="1" ht="14.25" thickBot="1">
      <c r="A192" s="278"/>
      <c r="B192" s="495" t="s">
        <v>4</v>
      </c>
      <c r="C192" s="563">
        <v>758871</v>
      </c>
      <c r="D192" s="555">
        <v>735000</v>
      </c>
      <c r="E192" s="556">
        <v>761136</v>
      </c>
      <c r="F192" s="556">
        <v>761136</v>
      </c>
      <c r="G192" s="555">
        <v>898137</v>
      </c>
      <c r="H192" s="564">
        <v>370607</v>
      </c>
      <c r="I192" s="556">
        <v>444730</v>
      </c>
      <c r="J192" s="781">
        <v>1158312</v>
      </c>
      <c r="K192" s="781">
        <v>1158312</v>
      </c>
      <c r="L192" s="781">
        <v>292079</v>
      </c>
      <c r="M192" s="811">
        <f>L192/K192</f>
        <v>0.25215917645677505</v>
      </c>
      <c r="N192" s="31"/>
      <c r="O192" s="10"/>
      <c r="P192" s="646"/>
      <c r="R192" s="16"/>
      <c r="S192" s="134"/>
    </row>
    <row r="193" spans="1:19" s="29" customFormat="1" ht="14.25" thickBot="1">
      <c r="A193" s="278"/>
      <c r="B193" s="490" t="s">
        <v>5</v>
      </c>
      <c r="C193" s="173">
        <f aca="true" t="shared" si="20" ref="C193:J193">SUM(C189:C192)</f>
        <v>1138871</v>
      </c>
      <c r="D193" s="360">
        <f t="shared" si="20"/>
        <v>931399</v>
      </c>
      <c r="E193" s="149">
        <f t="shared" si="20"/>
        <v>1141136</v>
      </c>
      <c r="F193" s="149">
        <f t="shared" si="20"/>
        <v>1141136</v>
      </c>
      <c r="G193" s="360">
        <f t="shared" si="20"/>
        <v>1218137</v>
      </c>
      <c r="H193" s="360">
        <f t="shared" si="20"/>
        <v>400607</v>
      </c>
      <c r="I193" s="360">
        <f t="shared" si="20"/>
        <v>494730</v>
      </c>
      <c r="J193" s="774">
        <f t="shared" si="20"/>
        <v>1448312</v>
      </c>
      <c r="K193" s="774">
        <f>SUM(K189:K192)</f>
        <v>1448312</v>
      </c>
      <c r="L193" s="774">
        <f>SUM(L189:L192)</f>
        <v>362079</v>
      </c>
      <c r="M193" s="774"/>
      <c r="N193" s="51"/>
      <c r="O193" s="83"/>
      <c r="P193" s="278"/>
      <c r="R193" s="510">
        <f>SUM(R189:R192)</f>
        <v>290000</v>
      </c>
      <c r="S193" s="134"/>
    </row>
    <row r="194" spans="1:19" s="29" customFormat="1" ht="7.5" customHeight="1" thickBot="1">
      <c r="A194" s="278"/>
      <c r="B194" s="68"/>
      <c r="C194" s="68"/>
      <c r="D194" s="344"/>
      <c r="E194" s="68"/>
      <c r="F194" s="68"/>
      <c r="G194" s="344"/>
      <c r="H194" s="344"/>
      <c r="I194" s="344"/>
      <c r="J194" s="619"/>
      <c r="K194" s="619"/>
      <c r="L194" s="619"/>
      <c r="M194" s="619"/>
      <c r="P194" s="278"/>
      <c r="S194" s="134"/>
    </row>
    <row r="195" spans="1:19" s="29" customFormat="1" ht="15" thickBot="1" thickTop="1">
      <c r="A195" s="278"/>
      <c r="B195" s="340" t="s">
        <v>224</v>
      </c>
      <c r="C195" s="341"/>
      <c r="D195" s="343">
        <f aca="true" t="shared" si="21" ref="D195:J195">D193-D186</f>
        <v>103605</v>
      </c>
      <c r="E195" s="343">
        <f t="shared" si="21"/>
        <v>0</v>
      </c>
      <c r="F195" s="343">
        <f t="shared" si="21"/>
        <v>158281</v>
      </c>
      <c r="G195" s="343">
        <f t="shared" si="21"/>
        <v>0</v>
      </c>
      <c r="H195" s="343">
        <f t="shared" si="21"/>
        <v>-36169</v>
      </c>
      <c r="I195" s="343">
        <f t="shared" si="21"/>
        <v>-18307</v>
      </c>
      <c r="J195" s="776">
        <f t="shared" si="21"/>
        <v>0</v>
      </c>
      <c r="K195" s="776">
        <f>K193-K186</f>
        <v>0</v>
      </c>
      <c r="L195" s="776">
        <f>L193-L186</f>
        <v>87286</v>
      </c>
      <c r="M195" s="776"/>
      <c r="P195" s="278"/>
      <c r="S195" s="134"/>
    </row>
    <row r="196" spans="1:19" s="29" customFormat="1" ht="10.5" customHeight="1" thickBot="1" thickTop="1">
      <c r="A196" s="278"/>
      <c r="B196" s="68"/>
      <c r="C196" s="68"/>
      <c r="D196" s="68"/>
      <c r="E196" s="68"/>
      <c r="F196" s="68"/>
      <c r="G196" s="344"/>
      <c r="H196" s="344"/>
      <c r="I196" s="344"/>
      <c r="J196" s="619"/>
      <c r="K196" s="619"/>
      <c r="L196" s="619"/>
      <c r="M196" s="619"/>
      <c r="P196" s="278"/>
      <c r="S196" s="134"/>
    </row>
    <row r="197" spans="1:19" s="29" customFormat="1" ht="15" thickBot="1" thickTop="1">
      <c r="A197" s="278"/>
      <c r="B197" s="340" t="s">
        <v>361</v>
      </c>
      <c r="C197" s="341"/>
      <c r="D197" s="343">
        <f aca="true" t="shared" si="22" ref="D197:J197">D195+D173+D139+D116</f>
        <v>233544</v>
      </c>
      <c r="E197" s="343">
        <f t="shared" si="22"/>
        <v>0</v>
      </c>
      <c r="F197" s="343">
        <f t="shared" si="22"/>
        <v>472042</v>
      </c>
      <c r="G197" s="343">
        <f t="shared" si="22"/>
        <v>0</v>
      </c>
      <c r="H197" s="343">
        <f t="shared" si="22"/>
        <v>-208</v>
      </c>
      <c r="I197" s="343">
        <f t="shared" si="22"/>
        <v>339693</v>
      </c>
      <c r="J197" s="787">
        <f t="shared" si="22"/>
        <v>0</v>
      </c>
      <c r="K197" s="787">
        <f>K195+K173+K139+K116</f>
        <v>30000</v>
      </c>
      <c r="L197" s="787">
        <f>L195+L173+L139+L116</f>
        <v>312775</v>
      </c>
      <c r="M197" s="787"/>
      <c r="P197" s="278"/>
      <c r="Q197" s="366" t="s">
        <v>264</v>
      </c>
      <c r="R197" s="503">
        <f>R193+R171+R114</f>
        <v>2765000</v>
      </c>
      <c r="S197" s="134"/>
    </row>
    <row r="198" spans="1:19" s="29" customFormat="1" ht="14.25" thickBot="1" thickTop="1">
      <c r="A198" s="278"/>
      <c r="B198" s="68"/>
      <c r="C198" s="68"/>
      <c r="D198" s="68"/>
      <c r="E198" s="68"/>
      <c r="F198" s="68"/>
      <c r="G198" s="344"/>
      <c r="H198" s="344"/>
      <c r="I198" s="344"/>
      <c r="J198" s="619"/>
      <c r="K198" s="786"/>
      <c r="L198" s="786"/>
      <c r="M198" s="786"/>
      <c r="P198" s="278"/>
      <c r="S198" s="134"/>
    </row>
    <row r="199" spans="1:19" s="29" customFormat="1" ht="12.75">
      <c r="A199" s="278"/>
      <c r="B199" s="650"/>
      <c r="C199" s="651"/>
      <c r="D199" s="651"/>
      <c r="E199" s="652" t="s">
        <v>354</v>
      </c>
      <c r="F199" s="653" t="s">
        <v>355</v>
      </c>
      <c r="G199" s="652" t="s">
        <v>353</v>
      </c>
      <c r="H199" s="652"/>
      <c r="I199" s="654" t="s">
        <v>213</v>
      </c>
      <c r="J199" s="655" t="s">
        <v>316</v>
      </c>
      <c r="K199" s="655" t="s">
        <v>416</v>
      </c>
      <c r="L199" s="655" t="s">
        <v>417</v>
      </c>
      <c r="M199" s="655"/>
      <c r="N199" s="656"/>
      <c r="O199" s="656"/>
      <c r="P199" s="657" t="s">
        <v>289</v>
      </c>
      <c r="S199" s="134"/>
    </row>
    <row r="200" spans="1:19" s="29" customFormat="1" ht="12.75">
      <c r="A200" s="278"/>
      <c r="B200" s="658" t="s">
        <v>214</v>
      </c>
      <c r="C200" s="659"/>
      <c r="D200" s="659"/>
      <c r="E200" s="660">
        <f>E192+E163+E136+E68+E66</f>
        <v>9907866</v>
      </c>
      <c r="F200" s="660">
        <f>F192+F163+F136+F68+F66</f>
        <v>9877604</v>
      </c>
      <c r="G200" s="660">
        <f>G192+G163+G136+G68+G66</f>
        <v>10779137</v>
      </c>
      <c r="H200" s="661"/>
      <c r="I200" s="660">
        <f>I192+I163+I136+I68</f>
        <v>5289060</v>
      </c>
      <c r="J200" s="788">
        <f>J192+J163+J136+J68</f>
        <v>12033774</v>
      </c>
      <c r="K200" s="788">
        <f>K192+K163+K136+K68</f>
        <v>12033774</v>
      </c>
      <c r="L200" s="788">
        <f>L192+L163+L136+L68</f>
        <v>3238917</v>
      </c>
      <c r="M200" s="788"/>
      <c r="N200" s="662"/>
      <c r="O200" s="662"/>
      <c r="P200" s="663">
        <f>J200/G200</f>
        <v>1.116394939594886</v>
      </c>
      <c r="S200" s="134"/>
    </row>
    <row r="201" spans="1:19" s="29" customFormat="1" ht="12.75">
      <c r="A201" s="278"/>
      <c r="B201" s="658" t="s">
        <v>336</v>
      </c>
      <c r="C201" s="659"/>
      <c r="D201" s="659"/>
      <c r="E201" s="660"/>
      <c r="F201" s="660">
        <f>F191+F190+F189+F169+F168+F166+F165+F164+F98+F96+F94+F92+F91+F89+F86+F85+F87+F83+F81+F80+F79+F78+F76+F74+F69</f>
        <v>2920045</v>
      </c>
      <c r="G201" s="660">
        <f>G191+G190+G189+G169+G168+G166+G165+G103+G102+G98+G97+G96+G94+G93+G92+G90+G87+G86+G85+G83+G81+G80+G79+G78+G76+G73+G69+G89</f>
        <v>2935500</v>
      </c>
      <c r="H201" s="661"/>
      <c r="I201" s="660">
        <f>I191+I190+I189+I169+I168+I166+I165+I103+I102+I98+I97+I96+I94+I93+I92+I90+I87+I86+I85+I83+I81+I80+I79+I78+I76+I73+I69+I89</f>
        <v>766000</v>
      </c>
      <c r="J201" s="789">
        <f>R197</f>
        <v>2765000</v>
      </c>
      <c r="K201" s="789">
        <f>K191+K190+K189+K169+K168+K166+K165+K107+K106+K105+K104+K103+K98+K97+K96+K94+K93+K92+K90+K89+K87+K86+K85+K83+K81+K80+K79+K78+K76+K73+K69</f>
        <v>2765000</v>
      </c>
      <c r="L201" s="789">
        <f>L191+L190+L189+L169+L168+L166+L165+L107+L106+L105+L104+L103+L98+L97+L96+L94+L93+L92+L90+L89+L87+L86+L85+L83+L81+L80+L79+L78+L76+L73+L69</f>
        <v>340000</v>
      </c>
      <c r="M201" s="789"/>
      <c r="N201" s="662"/>
      <c r="O201" s="662"/>
      <c r="P201" s="663">
        <f>J201/G201</f>
        <v>0.9419179015499914</v>
      </c>
      <c r="S201" s="134"/>
    </row>
    <row r="202" spans="1:19" s="29" customFormat="1" ht="12.75">
      <c r="A202" s="278"/>
      <c r="B202" s="696" t="s">
        <v>368</v>
      </c>
      <c r="C202" s="697"/>
      <c r="D202" s="697"/>
      <c r="E202" s="698">
        <f>SUM(E200:E201)</f>
        <v>9907866</v>
      </c>
      <c r="F202" s="698">
        <f>SUM(F200:F201)</f>
        <v>12797649</v>
      </c>
      <c r="G202" s="698">
        <f>SUM(G200:G201)</f>
        <v>13714637</v>
      </c>
      <c r="H202" s="699"/>
      <c r="I202" s="698">
        <f>SUM(I200:I201)</f>
        <v>6055060</v>
      </c>
      <c r="J202" s="790">
        <f>SUM(J200:J201)</f>
        <v>14798774</v>
      </c>
      <c r="K202" s="790">
        <f>SUM(K200:K201)</f>
        <v>14798774</v>
      </c>
      <c r="L202" s="790">
        <f>SUM(L200:L201)</f>
        <v>3578917</v>
      </c>
      <c r="M202" s="790"/>
      <c r="N202" s="700"/>
      <c r="O202" s="700"/>
      <c r="P202" s="701">
        <f>J202/G202</f>
        <v>1.0790496314266285</v>
      </c>
      <c r="S202" s="134"/>
    </row>
    <row r="203" spans="2:21" ht="12.75">
      <c r="B203" s="664" t="s">
        <v>215</v>
      </c>
      <c r="C203" s="665"/>
      <c r="D203" s="665"/>
      <c r="E203" s="666">
        <f>E182+E156+E129+E15</f>
        <v>5698869</v>
      </c>
      <c r="F203" s="666">
        <f>F182+F156+F129+F15</f>
        <v>5516606</v>
      </c>
      <c r="G203" s="666">
        <f>G182+G156+G129+G15</f>
        <v>6865165</v>
      </c>
      <c r="H203" s="667"/>
      <c r="I203" s="666">
        <f>I182+I156+I129+I15</f>
        <v>3077368</v>
      </c>
      <c r="J203" s="791">
        <f>J182+J156+J129+J15</f>
        <v>8300923</v>
      </c>
      <c r="K203" s="791">
        <f>K182+K156+K129+K15</f>
        <v>8300923</v>
      </c>
      <c r="L203" s="791">
        <f>L182+L156+L129+L15</f>
        <v>1721782</v>
      </c>
      <c r="M203" s="791"/>
      <c r="N203" s="668"/>
      <c r="O203" s="668"/>
      <c r="P203" s="663">
        <f>J203/G203</f>
        <v>1.2091367068380732</v>
      </c>
      <c r="T203" s="29"/>
      <c r="U203" s="29"/>
    </row>
    <row r="204" spans="2:21" ht="12.75">
      <c r="B204" s="669"/>
      <c r="C204" s="670"/>
      <c r="D204" s="670"/>
      <c r="E204" s="670"/>
      <c r="F204" s="670" t="s">
        <v>173</v>
      </c>
      <c r="G204" s="671"/>
      <c r="H204" s="671"/>
      <c r="I204" s="671"/>
      <c r="J204" s="792"/>
      <c r="K204" s="792"/>
      <c r="L204" s="792"/>
      <c r="M204" s="792"/>
      <c r="N204" s="670"/>
      <c r="O204" s="670"/>
      <c r="P204" s="672"/>
      <c r="T204" s="29"/>
      <c r="U204" s="29"/>
    </row>
    <row r="205" spans="2:21" ht="12.75">
      <c r="B205" s="658" t="s">
        <v>357</v>
      </c>
      <c r="C205" s="670"/>
      <c r="D205" s="670"/>
      <c r="E205" s="667">
        <f>E186+E157+E130+E60</f>
        <v>16297462</v>
      </c>
      <c r="F205" s="667">
        <f>F186+F157+F130+F60</f>
        <v>16002427</v>
      </c>
      <c r="G205" s="667">
        <f>G186+G157+G130+G60</f>
        <v>17513237</v>
      </c>
      <c r="H205" s="671"/>
      <c r="I205" s="667">
        <f>I186+I157+I130+I60</f>
        <v>7644189</v>
      </c>
      <c r="J205" s="792">
        <f>J186+J157+J130+J60</f>
        <v>18189874</v>
      </c>
      <c r="K205" s="792">
        <f>K186+K157+K130+K60</f>
        <v>18419874</v>
      </c>
      <c r="L205" s="792">
        <f>L186+L157+L130+L60</f>
        <v>4280216</v>
      </c>
      <c r="M205" s="792"/>
      <c r="N205" s="670"/>
      <c r="O205" s="670"/>
      <c r="P205" s="672"/>
      <c r="T205" s="29"/>
      <c r="U205" s="29"/>
    </row>
    <row r="206" spans="2:16" ht="13.5" thickBot="1">
      <c r="B206" s="673" t="s">
        <v>358</v>
      </c>
      <c r="C206" s="674"/>
      <c r="D206" s="674"/>
      <c r="E206" s="675">
        <f>E193+E171+E137+E114</f>
        <v>16297462</v>
      </c>
      <c r="F206" s="675">
        <f>F193+F171+F137+F114</f>
        <v>16474469</v>
      </c>
      <c r="G206" s="675">
        <f>G193+G171+G137+G114</f>
        <v>17513237</v>
      </c>
      <c r="H206" s="676"/>
      <c r="I206" s="675">
        <f>I193+I171+I137+I114</f>
        <v>7983882</v>
      </c>
      <c r="J206" s="793">
        <f>J193+J171+J137+J114</f>
        <v>18189874</v>
      </c>
      <c r="K206" s="793">
        <f>K193+K171+K137+K114</f>
        <v>18449874</v>
      </c>
      <c r="L206" s="793">
        <f>L193+L171+L137+L114</f>
        <v>4592991</v>
      </c>
      <c r="M206" s="793"/>
      <c r="N206" s="674"/>
      <c r="O206" s="674"/>
      <c r="P206" s="677"/>
    </row>
    <row r="207" spans="2:5" ht="12.75">
      <c r="B207" s="63"/>
      <c r="E207" t="s">
        <v>173</v>
      </c>
    </row>
    <row r="209" ht="12.75">
      <c r="P209" s="649">
        <f>J202-14798776</f>
        <v>-2</v>
      </c>
    </row>
  </sheetData>
  <sheetProtection/>
  <mergeCells count="4">
    <mergeCell ref="B2:O2"/>
    <mergeCell ref="B118:L118"/>
    <mergeCell ref="B141:O141"/>
    <mergeCell ref="B175:O175"/>
  </mergeCells>
  <printOptions/>
  <pageMargins left="0.7" right="0.7" top="0.787401575" bottom="0.787401575" header="0.3" footer="0.3"/>
  <pageSetup horizontalDpi="600" verticalDpi="600" orientation="portrait" paperSize="9" scale="63" r:id="rId1"/>
  <rowBreaks count="2" manualBreakCount="2">
    <brk id="117" max="18" man="1"/>
    <brk id="206" max="255" man="1"/>
  </rowBreaks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3"/>
  <sheetViews>
    <sheetView zoomScalePageLayoutView="0" workbookViewId="0" topLeftCell="A1">
      <selection activeCell="A2" sqref="A2:C2"/>
    </sheetView>
  </sheetViews>
  <sheetFormatPr defaultColWidth="9.125" defaultRowHeight="12.75"/>
  <cols>
    <col min="1" max="1" width="35.50390625" style="702" customWidth="1"/>
    <col min="2" max="2" width="12.50390625" style="702" customWidth="1"/>
    <col min="3" max="3" width="15.375" style="702" customWidth="1"/>
    <col min="4" max="4" width="13.125" style="703" customWidth="1"/>
    <col min="5" max="5" width="10.50390625" style="703" customWidth="1"/>
    <col min="6" max="6" width="14.375" style="702" bestFit="1" customWidth="1"/>
    <col min="7" max="16384" width="9.125" style="702" customWidth="1"/>
  </cols>
  <sheetData>
    <row r="1" spans="1:5" ht="19.5" customHeight="1">
      <c r="A1" s="879" t="s">
        <v>369</v>
      </c>
      <c r="B1" s="879"/>
      <c r="C1" s="879"/>
      <c r="D1" s="879"/>
      <c r="E1" s="702"/>
    </row>
    <row r="2" spans="1:3" ht="19.5" customHeight="1">
      <c r="A2" s="880"/>
      <c r="B2" s="880"/>
      <c r="C2" s="880"/>
    </row>
    <row r="3" spans="1:4" s="52" customFormat="1" ht="19.5" customHeight="1">
      <c r="A3" s="881" t="s">
        <v>370</v>
      </c>
      <c r="B3" s="881"/>
      <c r="C3" s="881"/>
      <c r="D3" s="881"/>
    </row>
    <row r="4" spans="1:5" ht="19.5" customHeight="1">
      <c r="A4" s="882" t="s">
        <v>7</v>
      </c>
      <c r="B4" s="883" t="s">
        <v>409</v>
      </c>
      <c r="C4" s="883" t="s">
        <v>412</v>
      </c>
      <c r="D4" s="876" t="s">
        <v>338</v>
      </c>
      <c r="E4" s="876" t="s">
        <v>415</v>
      </c>
    </row>
    <row r="5" spans="1:5" ht="19.5" customHeight="1">
      <c r="A5" s="882"/>
      <c r="B5" s="883"/>
      <c r="C5" s="883"/>
      <c r="D5" s="877"/>
      <c r="E5" s="877"/>
    </row>
    <row r="6" spans="1:5" ht="19.5" customHeight="1">
      <c r="A6" s="882"/>
      <c r="B6" s="883"/>
      <c r="C6" s="883"/>
      <c r="D6" s="878"/>
      <c r="E6" s="878"/>
    </row>
    <row r="7" spans="1:5" ht="19.5" customHeight="1">
      <c r="A7" s="704" t="s">
        <v>371</v>
      </c>
      <c r="B7" s="826">
        <v>1315800</v>
      </c>
      <c r="C7" s="826">
        <v>1315800</v>
      </c>
      <c r="D7" s="726">
        <f>'1.Q prac'!L7+'1.Q prac'!L8+'1.Q prac'!L9</f>
        <v>619729</v>
      </c>
      <c r="E7" s="842">
        <f>D7/C7</f>
        <v>0.4709902720778234</v>
      </c>
    </row>
    <row r="8" spans="1:5" ht="19.5" customHeight="1" hidden="1">
      <c r="A8" s="707" t="s">
        <v>372</v>
      </c>
      <c r="B8" s="708"/>
      <c r="C8" s="708"/>
      <c r="D8" s="726"/>
      <c r="E8" s="842" t="e">
        <f aca="true" t="shared" si="0" ref="E8:E22">D8/C8</f>
        <v>#DIV/0!</v>
      </c>
    </row>
    <row r="9" spans="1:5" ht="19.5" customHeight="1" hidden="1">
      <c r="A9" s="707" t="s">
        <v>373</v>
      </c>
      <c r="B9" s="708"/>
      <c r="C9" s="708"/>
      <c r="D9" s="726"/>
      <c r="E9" s="842" t="e">
        <f t="shared" si="0"/>
        <v>#DIV/0!</v>
      </c>
    </row>
    <row r="10" spans="1:5" ht="19.5" customHeight="1" hidden="1">
      <c r="A10" s="707" t="s">
        <v>374</v>
      </c>
      <c r="B10" s="708"/>
      <c r="C10" s="708"/>
      <c r="D10" s="726"/>
      <c r="E10" s="842" t="e">
        <f t="shared" si="0"/>
        <v>#DIV/0!</v>
      </c>
    </row>
    <row r="11" spans="1:5" ht="19.5" customHeight="1">
      <c r="A11" s="711" t="s">
        <v>1</v>
      </c>
      <c r="B11" s="708">
        <v>50000</v>
      </c>
      <c r="C11" s="708">
        <v>50000</v>
      </c>
      <c r="D11" s="726">
        <f>'1.Q prac'!L10</f>
        <v>9288</v>
      </c>
      <c r="E11" s="842">
        <f t="shared" si="0"/>
        <v>0.18576</v>
      </c>
    </row>
    <row r="12" spans="1:5" ht="19.5" customHeight="1">
      <c r="A12" s="711" t="s">
        <v>8</v>
      </c>
      <c r="B12" s="708">
        <v>410000</v>
      </c>
      <c r="C12" s="708">
        <v>410000</v>
      </c>
      <c r="D12" s="726">
        <f>'1.Q prac'!L11</f>
        <v>102637</v>
      </c>
      <c r="E12" s="842">
        <f t="shared" si="0"/>
        <v>0.2503341463414634</v>
      </c>
    </row>
    <row r="13" spans="1:5" ht="19.5" customHeight="1">
      <c r="A13" s="711" t="s">
        <v>18</v>
      </c>
      <c r="B13" s="708">
        <v>1907000</v>
      </c>
      <c r="C13" s="708">
        <v>1907000</v>
      </c>
      <c r="D13" s="726">
        <f>'1.Q prac'!L12</f>
        <v>846252</v>
      </c>
      <c r="E13" s="842">
        <f t="shared" si="0"/>
        <v>0.44376088096486627</v>
      </c>
    </row>
    <row r="14" spans="1:5" ht="19.5" customHeight="1">
      <c r="A14" s="711" t="s">
        <v>9</v>
      </c>
      <c r="B14" s="708">
        <v>1190000</v>
      </c>
      <c r="C14" s="708">
        <v>1190000</v>
      </c>
      <c r="D14" s="726">
        <f>'1.Q prac'!L13</f>
        <v>278325</v>
      </c>
      <c r="E14" s="842">
        <f t="shared" si="0"/>
        <v>0.23388655462184874</v>
      </c>
    </row>
    <row r="15" spans="1:5" ht="19.5" customHeight="1">
      <c r="A15" s="711" t="s">
        <v>10</v>
      </c>
      <c r="B15" s="708">
        <v>5470439</v>
      </c>
      <c r="C15" s="708">
        <v>5470439</v>
      </c>
      <c r="D15" s="726">
        <f>'1.Q prac'!L15</f>
        <v>1142636</v>
      </c>
      <c r="E15" s="842">
        <f t="shared" si="0"/>
        <v>0.20887464424701563</v>
      </c>
    </row>
    <row r="16" spans="1:5" ht="19.5" customHeight="1">
      <c r="A16" s="711" t="s">
        <v>139</v>
      </c>
      <c r="B16" s="708">
        <v>50000</v>
      </c>
      <c r="C16" s="708">
        <v>50000</v>
      </c>
      <c r="D16" s="726">
        <f>'1.Q prac'!L20</f>
        <v>1800</v>
      </c>
      <c r="E16" s="842">
        <f t="shared" si="0"/>
        <v>0.036</v>
      </c>
    </row>
    <row r="17" spans="1:5" ht="19.5" customHeight="1">
      <c r="A17" s="711" t="s">
        <v>157</v>
      </c>
      <c r="B17" s="712">
        <v>759885</v>
      </c>
      <c r="C17" s="712">
        <v>759885</v>
      </c>
      <c r="D17" s="726">
        <f>'1.Q prac'!L59</f>
        <v>184987</v>
      </c>
      <c r="E17" s="842">
        <f t="shared" si="0"/>
        <v>0.24344078380281226</v>
      </c>
    </row>
    <row r="18" spans="1:5" ht="19.5" customHeight="1">
      <c r="A18" s="713" t="s">
        <v>375</v>
      </c>
      <c r="B18" s="712">
        <v>10000</v>
      </c>
      <c r="C18" s="712">
        <v>10000</v>
      </c>
      <c r="D18" s="726">
        <f>'1.Q prac'!L42</f>
        <v>0</v>
      </c>
      <c r="E18" s="842">
        <f t="shared" si="0"/>
        <v>0</v>
      </c>
    </row>
    <row r="19" spans="1:5" ht="19.5" customHeight="1">
      <c r="A19" s="714" t="s">
        <v>39</v>
      </c>
      <c r="B19" s="709">
        <v>1304500</v>
      </c>
      <c r="C19" s="709">
        <v>1304500</v>
      </c>
      <c r="D19" s="726">
        <f>'1.Q prac'!L16</f>
        <v>88063</v>
      </c>
      <c r="E19" s="842">
        <f t="shared" si="0"/>
        <v>0.06750709083940207</v>
      </c>
    </row>
    <row r="20" spans="1:5" ht="19.5" customHeight="1">
      <c r="A20" s="711" t="s">
        <v>376</v>
      </c>
      <c r="B20" s="709">
        <v>853000</v>
      </c>
      <c r="C20" s="709">
        <v>853000</v>
      </c>
      <c r="D20" s="726">
        <f>'1.Q prac'!L21+'1.Q prac'!L23+'1.Q prac'!L24+'1.Q prac'!L25+'1.Q prac'!L27+'1.Q prac'!L28+'1.Q prac'!L34+'1.Q prac'!L35+'1.Q prac'!L36+'1.Q prac'!L37+'1.Q prac'!L38+'1.Q prac'!L43+'1.Q prac'!L47+'1.Q prac'!L48</f>
        <v>299863</v>
      </c>
      <c r="E20" s="842">
        <f t="shared" si="0"/>
        <v>0.35153927315357564</v>
      </c>
    </row>
    <row r="21" spans="1:5" ht="19.5" customHeight="1">
      <c r="A21" s="715" t="s">
        <v>377</v>
      </c>
      <c r="B21" s="709">
        <v>761000</v>
      </c>
      <c r="C21" s="709">
        <v>761000</v>
      </c>
      <c r="D21" s="726">
        <f>'1.Q prac'!L29+'1.Q prac'!L31+'1.Q prac'!L40+'1.Q prac'!L45+'1.Q prac'!L55+'1.Q prac'!L56</f>
        <v>1176</v>
      </c>
      <c r="E21" s="842">
        <f t="shared" si="0"/>
        <v>0.001545335085413929</v>
      </c>
    </row>
    <row r="22" spans="1:5" ht="19.5" customHeight="1">
      <c r="A22" s="715" t="s">
        <v>410</v>
      </c>
      <c r="B22" s="709"/>
      <c r="C22" s="709">
        <v>260000</v>
      </c>
      <c r="D22" s="726">
        <f>'1.Q prac'!L57</f>
        <v>0</v>
      </c>
      <c r="E22" s="842">
        <f t="shared" si="0"/>
        <v>0</v>
      </c>
    </row>
    <row r="23" spans="1:5" ht="19.5" customHeight="1">
      <c r="A23" s="827" t="s">
        <v>378</v>
      </c>
      <c r="B23" s="829">
        <f>SUM(B7:B21)</f>
        <v>14081624</v>
      </c>
      <c r="C23" s="829">
        <f>SUM(C7:C22)</f>
        <v>14341624</v>
      </c>
      <c r="D23" s="829">
        <f>SUM(D7:D22)</f>
        <v>3574756</v>
      </c>
      <c r="E23" s="828"/>
    </row>
    <row r="24" spans="1:3" ht="19.5" customHeight="1">
      <c r="A24" s="717"/>
      <c r="B24" s="718"/>
      <c r="C24" s="719"/>
    </row>
    <row r="25" spans="1:3" ht="19.5" customHeight="1">
      <c r="A25" s="717"/>
      <c r="B25" s="718"/>
      <c r="C25" s="719"/>
    </row>
    <row r="26" spans="1:3" ht="19.5" customHeight="1" hidden="1">
      <c r="A26" s="717"/>
      <c r="B26" s="718"/>
      <c r="C26" s="719"/>
    </row>
    <row r="27" spans="1:3" ht="19.5" customHeight="1" hidden="1">
      <c r="A27" s="717"/>
      <c r="B27" s="718"/>
      <c r="C27" s="719"/>
    </row>
    <row r="28" spans="1:3" ht="19.5" customHeight="1" hidden="1">
      <c r="A28" s="717"/>
      <c r="B28" s="718"/>
      <c r="C28" s="719"/>
    </row>
    <row r="29" spans="1:3" ht="19.5" customHeight="1" hidden="1">
      <c r="A29" s="717"/>
      <c r="B29" s="718"/>
      <c r="C29" s="719"/>
    </row>
    <row r="30" spans="1:3" ht="19.5" customHeight="1" hidden="1">
      <c r="A30" s="717"/>
      <c r="B30" s="718"/>
      <c r="C30" s="719"/>
    </row>
    <row r="31" spans="1:3" ht="19.5" customHeight="1" hidden="1">
      <c r="A31" s="717"/>
      <c r="B31" s="718"/>
      <c r="C31" s="719"/>
    </row>
    <row r="32" spans="1:3" ht="19.5" customHeight="1" hidden="1">
      <c r="A32" s="717"/>
      <c r="B32" s="718"/>
      <c r="C32" s="719"/>
    </row>
    <row r="33" spans="1:3" ht="19.5" customHeight="1" hidden="1">
      <c r="A33" s="717"/>
      <c r="B33" s="718"/>
      <c r="C33" s="719"/>
    </row>
    <row r="34" spans="1:3" ht="19.5" customHeight="1" hidden="1">
      <c r="A34" s="717"/>
      <c r="B34" s="718"/>
      <c r="C34" s="719"/>
    </row>
    <row r="35" spans="1:5" ht="19.5" customHeight="1" hidden="1">
      <c r="A35" s="720"/>
      <c r="B35" s="514"/>
      <c r="C35" s="721"/>
      <c r="D35" s="25"/>
      <c r="E35" s="25"/>
    </row>
    <row r="36" spans="1:5" ht="19.5" customHeight="1">
      <c r="A36" s="882" t="s">
        <v>379</v>
      </c>
      <c r="B36" s="883" t="s">
        <v>409</v>
      </c>
      <c r="C36" s="883" t="s">
        <v>412</v>
      </c>
      <c r="D36" s="876" t="s">
        <v>338</v>
      </c>
      <c r="E36" s="876" t="s">
        <v>415</v>
      </c>
    </row>
    <row r="37" spans="1:5" ht="19.5" customHeight="1">
      <c r="A37" s="882"/>
      <c r="B37" s="883"/>
      <c r="C37" s="883"/>
      <c r="D37" s="877"/>
      <c r="E37" s="877"/>
    </row>
    <row r="38" spans="1:5" ht="19.5" customHeight="1">
      <c r="A38" s="882"/>
      <c r="B38" s="883"/>
      <c r="C38" s="883"/>
      <c r="D38" s="878"/>
      <c r="E38" s="878"/>
    </row>
    <row r="39" spans="1:5" ht="19.5" customHeight="1">
      <c r="A39" s="711" t="s">
        <v>4</v>
      </c>
      <c r="B39" s="716">
        <v>10350639</v>
      </c>
      <c r="C39" s="716">
        <v>10350639</v>
      </c>
      <c r="D39" s="843">
        <f>'1.Q prac'!L68+'1.Q prac'!L69+'1.Q prac'!L73+'1.Q prac'!L76+'1.Q prac'!L78+'1.Q prac'!L79+'1.Q prac'!L80+'1.Q prac'!L81+'1.Q prac'!L83+'1.Q prac'!L85+'1.Q prac'!L86+'1.Q prac'!L87+'1.Q prac'!L89+'1.Q prac'!L90+'1.Q prac'!L92+'1.Q prac'!L93+'1.Q prac'!L94+'1.Q prac'!L96+'1.Q prac'!L98+'1.Q prac'!L97+'1.Q prac'!L103+'1.Q prac'!L104+'1.Q prac'!L105+'1.Q prac'!L106+'1.Q prac'!L107</f>
        <v>2640983</v>
      </c>
      <c r="E39" s="842">
        <f>D39/C39</f>
        <v>0.2551516867702564</v>
      </c>
    </row>
    <row r="40" spans="1:5" ht="19.5" customHeight="1">
      <c r="A40" s="711" t="s">
        <v>157</v>
      </c>
      <c r="B40" s="716">
        <v>759885</v>
      </c>
      <c r="C40" s="716">
        <v>759885</v>
      </c>
      <c r="D40" s="843">
        <v>0</v>
      </c>
      <c r="E40" s="842">
        <f>D40/C40</f>
        <v>0</v>
      </c>
    </row>
    <row r="41" spans="1:5" ht="19.5" customHeight="1">
      <c r="A41" s="711" t="s">
        <v>11</v>
      </c>
      <c r="B41" s="716">
        <v>2948000</v>
      </c>
      <c r="C41" s="716">
        <v>2948000</v>
      </c>
      <c r="D41" s="843">
        <v>998005</v>
      </c>
      <c r="E41" s="842">
        <f>D41/C41</f>
        <v>0.3385362957937585</v>
      </c>
    </row>
    <row r="42" spans="1:5" ht="19.5" customHeight="1">
      <c r="A42" s="711" t="s">
        <v>12</v>
      </c>
      <c r="B42" s="716">
        <v>23100</v>
      </c>
      <c r="C42" s="716">
        <v>23100</v>
      </c>
      <c r="D42" s="843">
        <v>54</v>
      </c>
      <c r="E42" s="842">
        <f>D42/C42</f>
        <v>0.0023376623376623377</v>
      </c>
    </row>
    <row r="43" spans="1:5" ht="19.5" customHeight="1" hidden="1">
      <c r="A43" s="723" t="s">
        <v>380</v>
      </c>
      <c r="B43" s="716"/>
      <c r="C43" s="716"/>
      <c r="D43" s="726"/>
      <c r="E43" s="710"/>
    </row>
    <row r="44" spans="1:5" ht="19.5" customHeight="1" hidden="1">
      <c r="A44" s="724" t="s">
        <v>381</v>
      </c>
      <c r="B44" s="716"/>
      <c r="C44" s="725"/>
      <c r="D44" s="726"/>
      <c r="E44" s="726"/>
    </row>
    <row r="45" spans="1:5" ht="19.5" customHeight="1" hidden="1">
      <c r="A45" s="723" t="s">
        <v>382</v>
      </c>
      <c r="B45" s="716"/>
      <c r="C45" s="725"/>
      <c r="D45" s="726"/>
      <c r="E45" s="707"/>
    </row>
    <row r="46" spans="1:5" ht="19.5" customHeight="1" hidden="1">
      <c r="A46" s="727" t="s">
        <v>383</v>
      </c>
      <c r="B46" s="716"/>
      <c r="C46" s="725"/>
      <c r="D46" s="726"/>
      <c r="E46" s="707"/>
    </row>
    <row r="47" spans="1:6" ht="19.5" customHeight="1" hidden="1">
      <c r="A47" s="723" t="s">
        <v>384</v>
      </c>
      <c r="B47" s="716"/>
      <c r="C47" s="716"/>
      <c r="D47" s="726"/>
      <c r="E47" s="884"/>
      <c r="F47" s="884"/>
    </row>
    <row r="48" spans="1:5" ht="19.5" customHeight="1" hidden="1">
      <c r="A48" s="723" t="s">
        <v>385</v>
      </c>
      <c r="B48" s="716"/>
      <c r="C48" s="716"/>
      <c r="D48" s="726"/>
      <c r="E48" s="707"/>
    </row>
    <row r="49" spans="1:5" ht="19.5" customHeight="1" hidden="1">
      <c r="A49" s="707" t="s">
        <v>139</v>
      </c>
      <c r="B49" s="716"/>
      <c r="C49" s="725"/>
      <c r="D49" s="726"/>
      <c r="E49" s="707"/>
    </row>
    <row r="50" spans="1:5" ht="19.5" customHeight="1" hidden="1">
      <c r="A50" s="707" t="s">
        <v>19</v>
      </c>
      <c r="B50" s="716"/>
      <c r="C50" s="725"/>
      <c r="D50" s="726"/>
      <c r="E50" s="707"/>
    </row>
    <row r="51" spans="1:5" ht="19.5" customHeight="1" hidden="1">
      <c r="A51" s="723" t="s">
        <v>386</v>
      </c>
      <c r="B51" s="716"/>
      <c r="C51" s="725"/>
      <c r="D51" s="726"/>
      <c r="E51" s="707"/>
    </row>
    <row r="52" spans="1:5" ht="19.5" customHeight="1" hidden="1">
      <c r="A52" s="723" t="s">
        <v>387</v>
      </c>
      <c r="B52" s="716"/>
      <c r="C52" s="725"/>
      <c r="D52" s="726"/>
      <c r="E52" s="707"/>
    </row>
    <row r="53" spans="1:5" ht="19.5" customHeight="1" hidden="1">
      <c r="A53" s="723" t="s">
        <v>30</v>
      </c>
      <c r="B53" s="716"/>
      <c r="C53" s="725"/>
      <c r="D53" s="726"/>
      <c r="E53" s="707"/>
    </row>
    <row r="54" spans="1:5" ht="19.5" customHeight="1" hidden="1">
      <c r="A54" s="723" t="s">
        <v>31</v>
      </c>
      <c r="B54" s="716"/>
      <c r="C54" s="725"/>
      <c r="D54" s="726"/>
      <c r="E54" s="707"/>
    </row>
    <row r="55" spans="1:5" ht="19.5" customHeight="1" hidden="1">
      <c r="A55" s="723" t="s">
        <v>388</v>
      </c>
      <c r="B55" s="716"/>
      <c r="C55" s="725"/>
      <c r="D55" s="726"/>
      <c r="E55" s="707"/>
    </row>
    <row r="56" spans="1:5" ht="19.5" customHeight="1" hidden="1">
      <c r="A56" s="723" t="s">
        <v>389</v>
      </c>
      <c r="B56" s="716"/>
      <c r="C56" s="725"/>
      <c r="D56" s="726"/>
      <c r="E56" s="726"/>
    </row>
    <row r="57" spans="1:5" ht="19.5" customHeight="1" hidden="1">
      <c r="A57" s="723" t="s">
        <v>47</v>
      </c>
      <c r="B57" s="716"/>
      <c r="C57" s="725"/>
      <c r="D57" s="716"/>
      <c r="E57" s="716"/>
    </row>
    <row r="58" spans="1:5" ht="19.5" customHeight="1" hidden="1">
      <c r="A58" s="723" t="s">
        <v>48</v>
      </c>
      <c r="B58" s="716"/>
      <c r="C58" s="725"/>
      <c r="D58" s="716"/>
      <c r="E58" s="716"/>
    </row>
    <row r="59" spans="1:5" ht="19.5" customHeight="1" hidden="1">
      <c r="A59" s="723" t="s">
        <v>93</v>
      </c>
      <c r="B59" s="716"/>
      <c r="C59" s="725"/>
      <c r="D59" s="726"/>
      <c r="E59" s="726"/>
    </row>
    <row r="60" spans="1:5" ht="19.5" customHeight="1" hidden="1">
      <c r="A60" s="723" t="s">
        <v>180</v>
      </c>
      <c r="B60" s="716"/>
      <c r="C60" s="725"/>
      <c r="D60" s="726"/>
      <c r="E60" s="707"/>
    </row>
    <row r="61" spans="1:5" ht="19.5" customHeight="1" hidden="1">
      <c r="A61" s="723" t="s">
        <v>390</v>
      </c>
      <c r="B61" s="716"/>
      <c r="C61" s="725"/>
      <c r="D61" s="726"/>
      <c r="E61" s="707"/>
    </row>
    <row r="62" spans="1:5" ht="19.5" customHeight="1" hidden="1">
      <c r="A62" s="723" t="s">
        <v>391</v>
      </c>
      <c r="B62" s="716"/>
      <c r="C62" s="725"/>
      <c r="D62" s="726"/>
      <c r="E62" s="707"/>
    </row>
    <row r="63" spans="1:5" ht="19.5" customHeight="1" hidden="1">
      <c r="A63" s="723" t="s">
        <v>392</v>
      </c>
      <c r="B63" s="716"/>
      <c r="C63" s="725"/>
      <c r="D63" s="726"/>
      <c r="E63" s="707"/>
    </row>
    <row r="64" spans="1:5" ht="19.5" customHeight="1" hidden="1">
      <c r="A64" s="723" t="s">
        <v>393</v>
      </c>
      <c r="B64" s="716"/>
      <c r="C64" s="725"/>
      <c r="D64" s="726"/>
      <c r="E64" s="707"/>
    </row>
    <row r="65" spans="1:5" ht="19.5" customHeight="1" hidden="1">
      <c r="A65" s="723" t="s">
        <v>394</v>
      </c>
      <c r="B65" s="716"/>
      <c r="C65" s="725"/>
      <c r="D65" s="726"/>
      <c r="E65" s="707"/>
    </row>
    <row r="66" spans="1:5" ht="19.5" customHeight="1" hidden="1">
      <c r="A66" s="723" t="s">
        <v>395</v>
      </c>
      <c r="B66" s="716"/>
      <c r="C66" s="725"/>
      <c r="D66" s="726"/>
      <c r="E66" s="707"/>
    </row>
    <row r="67" spans="1:5" ht="19.5" customHeight="1">
      <c r="A67" s="715" t="s">
        <v>422</v>
      </c>
      <c r="B67" s="716"/>
      <c r="C67" s="725">
        <v>260000</v>
      </c>
      <c r="D67" s="726">
        <v>0</v>
      </c>
      <c r="E67" s="842">
        <f>D67/C67</f>
        <v>0</v>
      </c>
    </row>
    <row r="68" spans="1:5" s="52" customFormat="1" ht="19.5" customHeight="1">
      <c r="A68" s="827" t="s">
        <v>13</v>
      </c>
      <c r="B68" s="829">
        <f>SUM(B39:B66)</f>
        <v>14081624</v>
      </c>
      <c r="C68" s="829">
        <f>SUM(C39:C67)</f>
        <v>14341624</v>
      </c>
      <c r="D68" s="725">
        <f>SUM(D39:D67)</f>
        <v>3639042</v>
      </c>
      <c r="E68" s="706" t="s">
        <v>173</v>
      </c>
    </row>
    <row r="69" spans="1:5" s="52" customFormat="1" ht="19.5" customHeight="1" hidden="1">
      <c r="A69" s="717"/>
      <c r="B69" s="718"/>
      <c r="C69" s="718"/>
      <c r="D69" s="25"/>
      <c r="E69" s="25"/>
    </row>
    <row r="70" spans="1:5" s="52" customFormat="1" ht="19.5" customHeight="1" hidden="1">
      <c r="A70" s="717"/>
      <c r="B70" s="718"/>
      <c r="C70" s="718"/>
      <c r="D70" s="25"/>
      <c r="E70" s="25"/>
    </row>
    <row r="71" spans="1:5" s="52" customFormat="1" ht="19.5" customHeight="1" hidden="1">
      <c r="A71" s="717"/>
      <c r="B71" s="718"/>
      <c r="C71" s="718"/>
      <c r="D71" s="25"/>
      <c r="E71" s="25"/>
    </row>
    <row r="72" spans="1:5" s="52" customFormat="1" ht="19.5" customHeight="1" hidden="1">
      <c r="A72" s="717"/>
      <c r="B72" s="718"/>
      <c r="C72" s="718"/>
      <c r="D72" s="25"/>
      <c r="E72" s="25"/>
    </row>
    <row r="73" spans="1:5" s="52" customFormat="1" ht="19.5" customHeight="1" hidden="1">
      <c r="A73" s="717"/>
      <c r="B73" s="718"/>
      <c r="C73" s="718"/>
      <c r="D73" s="25"/>
      <c r="E73" s="25"/>
    </row>
    <row r="74" spans="1:5" s="52" customFormat="1" ht="19.5" customHeight="1" hidden="1">
      <c r="A74" s="717"/>
      <c r="B74" s="718"/>
      <c r="C74" s="718"/>
      <c r="D74" s="25"/>
      <c r="E74" s="25"/>
    </row>
    <row r="75" spans="3:5" s="52" customFormat="1" ht="19.5" customHeight="1" hidden="1">
      <c r="C75" s="718"/>
      <c r="D75" s="25"/>
      <c r="E75" s="25"/>
    </row>
    <row r="76" spans="3:5" s="52" customFormat="1" ht="19.5" customHeight="1" hidden="1">
      <c r="C76" s="718"/>
      <c r="D76" s="25"/>
      <c r="E76" s="25"/>
    </row>
    <row r="77" spans="1:5" s="52" customFormat="1" ht="19.5" customHeight="1" hidden="1">
      <c r="A77" s="717"/>
      <c r="B77" s="718"/>
      <c r="C77" s="718"/>
      <c r="D77" s="25"/>
      <c r="E77" s="25"/>
    </row>
    <row r="78" spans="1:5" s="52" customFormat="1" ht="19.5" customHeight="1">
      <c r="A78" s="717"/>
      <c r="B78" s="718"/>
      <c r="C78" s="718"/>
      <c r="D78" s="25"/>
      <c r="E78" s="25"/>
    </row>
    <row r="79" spans="1:5" s="52" customFormat="1" ht="19.5" customHeight="1">
      <c r="A79" s="717"/>
      <c r="B79" s="718"/>
      <c r="C79" s="718"/>
      <c r="D79" s="25"/>
      <c r="E79" s="25"/>
    </row>
    <row r="80" spans="1:5" s="52" customFormat="1" ht="19.5" customHeight="1" hidden="1">
      <c r="A80" s="717"/>
      <c r="B80" s="514"/>
      <c r="C80" s="514"/>
      <c r="D80" s="502"/>
      <c r="E80" s="502"/>
    </row>
    <row r="81" spans="1:5" s="52" customFormat="1" ht="19.5" customHeight="1" hidden="1">
      <c r="A81" s="717"/>
      <c r="B81" s="514"/>
      <c r="C81" s="514"/>
      <c r="D81" s="502"/>
      <c r="E81" s="502"/>
    </row>
    <row r="82" spans="1:5" s="52" customFormat="1" ht="19.5" customHeight="1" hidden="1">
      <c r="A82" s="717"/>
      <c r="B82" s="514"/>
      <c r="C82" s="514"/>
      <c r="D82" s="502"/>
      <c r="E82" s="502"/>
    </row>
    <row r="83" spans="1:5" s="52" customFormat="1" ht="19.5" customHeight="1" hidden="1">
      <c r="A83" s="717"/>
      <c r="B83" s="514"/>
      <c r="C83" s="514"/>
      <c r="D83" s="502"/>
      <c r="E83" s="502"/>
    </row>
    <row r="84" spans="1:5" s="52" customFormat="1" ht="19.5" customHeight="1">
      <c r="A84" s="717"/>
      <c r="B84" s="718"/>
      <c r="C84" s="718"/>
      <c r="D84" s="25"/>
      <c r="E84" s="25"/>
    </row>
    <row r="85" spans="1:5" ht="19.5" customHeight="1">
      <c r="A85" s="885" t="s">
        <v>14</v>
      </c>
      <c r="B85" s="885"/>
      <c r="C85" s="885"/>
      <c r="D85" s="885"/>
      <c r="E85" s="702"/>
    </row>
    <row r="86" spans="1:5" ht="19.5" customHeight="1">
      <c r="A86" s="886" t="s">
        <v>0</v>
      </c>
      <c r="B86" s="883" t="s">
        <v>409</v>
      </c>
      <c r="C86" s="883" t="s">
        <v>412</v>
      </c>
      <c r="D86" s="876" t="s">
        <v>338</v>
      </c>
      <c r="E86" s="876" t="s">
        <v>415</v>
      </c>
    </row>
    <row r="87" spans="1:5" ht="19.5" customHeight="1">
      <c r="A87" s="886"/>
      <c r="B87" s="883"/>
      <c r="C87" s="883"/>
      <c r="D87" s="877"/>
      <c r="E87" s="877"/>
    </row>
    <row r="88" spans="1:5" ht="19.5" customHeight="1">
      <c r="A88" s="886"/>
      <c r="B88" s="883"/>
      <c r="C88" s="883"/>
      <c r="D88" s="878"/>
      <c r="E88" s="878"/>
    </row>
    <row r="89" spans="1:5" ht="19.5" customHeight="1">
      <c r="A89" s="715" t="s">
        <v>371</v>
      </c>
      <c r="B89" s="728">
        <v>178000</v>
      </c>
      <c r="C89" s="728">
        <v>178000</v>
      </c>
      <c r="D89" s="706">
        <f>'1.Q prac'!L121+'1.Q prac'!L122+'1.Q prac'!L123</f>
        <v>60485</v>
      </c>
      <c r="E89" s="842">
        <f aca="true" t="shared" si="1" ref="E89:E97">D89/C89</f>
        <v>0.33980337078651685</v>
      </c>
    </row>
    <row r="90" spans="1:5" ht="19.5" customHeight="1" hidden="1">
      <c r="A90" s="707" t="s">
        <v>372</v>
      </c>
      <c r="B90" s="716"/>
      <c r="C90" s="716"/>
      <c r="D90" s="710"/>
      <c r="E90" s="842" t="e">
        <f t="shared" si="1"/>
        <v>#DIV/0!</v>
      </c>
    </row>
    <row r="91" spans="1:5" ht="19.5" customHeight="1" hidden="1">
      <c r="A91" s="707" t="s">
        <v>396</v>
      </c>
      <c r="B91" s="716"/>
      <c r="C91" s="716"/>
      <c r="D91" s="710"/>
      <c r="E91" s="842" t="e">
        <f t="shared" si="1"/>
        <v>#DIV/0!</v>
      </c>
    </row>
    <row r="92" spans="1:5" ht="19.5" customHeight="1" hidden="1">
      <c r="A92" s="707" t="s">
        <v>397</v>
      </c>
      <c r="B92" s="716"/>
      <c r="C92" s="716"/>
      <c r="D92" s="710"/>
      <c r="E92" s="842" t="e">
        <f t="shared" si="1"/>
        <v>#DIV/0!</v>
      </c>
    </row>
    <row r="93" spans="1:5" ht="19.5" customHeight="1">
      <c r="A93" s="711" t="s">
        <v>1</v>
      </c>
      <c r="B93" s="716">
        <v>15000</v>
      </c>
      <c r="C93" s="716">
        <v>15000</v>
      </c>
      <c r="D93" s="706">
        <f>'1.Q prac'!L124</f>
        <v>0</v>
      </c>
      <c r="E93" s="842">
        <f t="shared" si="1"/>
        <v>0</v>
      </c>
    </row>
    <row r="94" spans="1:5" ht="19.5" customHeight="1">
      <c r="A94" s="711" t="s">
        <v>8</v>
      </c>
      <c r="B94" s="716">
        <v>7000</v>
      </c>
      <c r="C94" s="716">
        <v>7000</v>
      </c>
      <c r="D94" s="706">
        <f>'1.Q prac'!L127</f>
        <v>233</v>
      </c>
      <c r="E94" s="842">
        <f t="shared" si="1"/>
        <v>0.03328571428571429</v>
      </c>
    </row>
    <row r="95" spans="1:5" ht="19.5" customHeight="1">
      <c r="A95" s="711" t="s">
        <v>398</v>
      </c>
      <c r="B95" s="716">
        <v>100000</v>
      </c>
      <c r="C95" s="716">
        <v>100000</v>
      </c>
      <c r="D95" s="706">
        <f>'1.Q prac'!L128</f>
        <v>12233</v>
      </c>
      <c r="E95" s="842">
        <f t="shared" si="1"/>
        <v>0.12233</v>
      </c>
    </row>
    <row r="96" spans="1:5" ht="19.5" customHeight="1">
      <c r="A96" s="711" t="s">
        <v>10</v>
      </c>
      <c r="B96" s="716">
        <v>590481</v>
      </c>
      <c r="C96" s="716">
        <v>590481</v>
      </c>
      <c r="D96" s="706">
        <f>'1.Q prac'!L129</f>
        <v>105426</v>
      </c>
      <c r="E96" s="842">
        <f t="shared" si="1"/>
        <v>0.1785425779999695</v>
      </c>
    </row>
    <row r="97" spans="1:5" ht="19.5" customHeight="1">
      <c r="A97" s="729" t="s">
        <v>399</v>
      </c>
      <c r="B97" s="716">
        <v>24766</v>
      </c>
      <c r="C97" s="716">
        <v>24766</v>
      </c>
      <c r="D97" s="706">
        <f>'1.Q prac'!L126</f>
        <v>6205</v>
      </c>
      <c r="E97" s="842">
        <f t="shared" si="1"/>
        <v>0.25054510215618186</v>
      </c>
    </row>
    <row r="98" spans="1:5" ht="19.5" customHeight="1" hidden="1">
      <c r="A98" s="729" t="s">
        <v>197</v>
      </c>
      <c r="B98" s="716"/>
      <c r="C98" s="716"/>
      <c r="D98" s="710"/>
      <c r="E98" s="710"/>
    </row>
    <row r="99" spans="1:5" ht="19.5" customHeight="1" hidden="1">
      <c r="A99" s="707" t="s">
        <v>9</v>
      </c>
      <c r="B99" s="716"/>
      <c r="C99" s="716"/>
      <c r="D99" s="710"/>
      <c r="E99" s="710"/>
    </row>
    <row r="100" spans="1:5" ht="19.5" customHeight="1">
      <c r="A100" s="827" t="s">
        <v>2</v>
      </c>
      <c r="B100" s="828">
        <f>SUM(B89:B99)</f>
        <v>915247</v>
      </c>
      <c r="C100" s="828">
        <f>SUM(C89:C99)</f>
        <v>915247</v>
      </c>
      <c r="D100" s="706">
        <f>SUM(D89:D97)</f>
        <v>184582</v>
      </c>
      <c r="E100" s="706" t="s">
        <v>173</v>
      </c>
    </row>
    <row r="101" spans="1:3" ht="19.5" customHeight="1">
      <c r="A101" s="717"/>
      <c r="B101" s="718"/>
      <c r="C101" s="718"/>
    </row>
    <row r="102" spans="1:3" ht="19.5" customHeight="1">
      <c r="A102" s="717"/>
      <c r="B102" s="718"/>
      <c r="C102" s="718"/>
    </row>
    <row r="103" spans="1:5" ht="19.5" customHeight="1">
      <c r="A103" s="882" t="s">
        <v>379</v>
      </c>
      <c r="B103" s="883" t="s">
        <v>409</v>
      </c>
      <c r="C103" s="883" t="s">
        <v>412</v>
      </c>
      <c r="D103" s="876" t="s">
        <v>338</v>
      </c>
      <c r="E103" s="876" t="s">
        <v>415</v>
      </c>
    </row>
    <row r="104" spans="1:5" ht="19.5" customHeight="1">
      <c r="A104" s="882"/>
      <c r="B104" s="883"/>
      <c r="C104" s="883"/>
      <c r="D104" s="877"/>
      <c r="E104" s="877"/>
    </row>
    <row r="105" spans="1:5" ht="19.5" customHeight="1">
      <c r="A105" s="882"/>
      <c r="B105" s="883"/>
      <c r="C105" s="883"/>
      <c r="D105" s="878"/>
      <c r="E105" s="878"/>
    </row>
    <row r="106" spans="1:5" ht="19.5" customHeight="1">
      <c r="A106" s="711" t="s">
        <v>4</v>
      </c>
      <c r="B106" s="730">
        <v>850481</v>
      </c>
      <c r="C106" s="730">
        <v>850481</v>
      </c>
      <c r="D106" s="706">
        <f>'1.Q prac'!L136</f>
        <v>224683</v>
      </c>
      <c r="E106" s="842">
        <f>D106/C106</f>
        <v>0.26418344442732994</v>
      </c>
    </row>
    <row r="107" spans="1:5" ht="19.5" customHeight="1">
      <c r="A107" s="729" t="s">
        <v>399</v>
      </c>
      <c r="B107" s="730">
        <v>24766</v>
      </c>
      <c r="C107" s="730">
        <v>24766</v>
      </c>
      <c r="D107" s="706"/>
      <c r="E107" s="842">
        <f>D107/C107</f>
        <v>0</v>
      </c>
    </row>
    <row r="108" spans="1:5" ht="19.5" customHeight="1">
      <c r="A108" s="711" t="s">
        <v>11</v>
      </c>
      <c r="B108" s="730">
        <v>40000</v>
      </c>
      <c r="C108" s="730">
        <v>40000</v>
      </c>
      <c r="D108" s="706">
        <f>'1.Q prac'!L133</f>
        <v>6410</v>
      </c>
      <c r="E108" s="842">
        <f>D108/C108</f>
        <v>0.16025</v>
      </c>
    </row>
    <row r="109" spans="1:5" ht="19.5" customHeight="1">
      <c r="A109" s="715" t="s">
        <v>5</v>
      </c>
      <c r="B109" s="716">
        <f>SUM(B105:B108)</f>
        <v>915247</v>
      </c>
      <c r="C109" s="716">
        <f>SUM(C105:C108)</f>
        <v>915247</v>
      </c>
      <c r="D109" s="706">
        <f>SUM(D106:D108)</f>
        <v>231093</v>
      </c>
      <c r="E109" s="706"/>
    </row>
    <row r="110" spans="1:3" ht="19.5" customHeight="1">
      <c r="A110" s="717"/>
      <c r="B110" s="718"/>
      <c r="C110" s="718"/>
    </row>
    <row r="111" spans="4:5" ht="19.5" customHeight="1">
      <c r="D111" s="702"/>
      <c r="E111" s="702"/>
    </row>
    <row r="112" spans="1:5" s="52" customFormat="1" ht="19.5" customHeight="1">
      <c r="A112" s="885" t="s">
        <v>418</v>
      </c>
      <c r="B112" s="885"/>
      <c r="C112" s="885"/>
      <c r="D112" s="885"/>
      <c r="E112" s="702"/>
    </row>
    <row r="113" spans="1:5" s="52" customFormat="1" ht="19.5" customHeight="1">
      <c r="A113" s="886" t="s">
        <v>0</v>
      </c>
      <c r="B113" s="883" t="s">
        <v>409</v>
      </c>
      <c r="C113" s="883" t="s">
        <v>412</v>
      </c>
      <c r="D113" s="876" t="s">
        <v>338</v>
      </c>
      <c r="E113" s="876" t="s">
        <v>415</v>
      </c>
    </row>
    <row r="114" spans="1:5" s="52" customFormat="1" ht="19.5" customHeight="1">
      <c r="A114" s="886"/>
      <c r="B114" s="883"/>
      <c r="C114" s="883"/>
      <c r="D114" s="877"/>
      <c r="E114" s="877"/>
    </row>
    <row r="115" spans="1:5" s="52" customFormat="1" ht="19.5" customHeight="1">
      <c r="A115" s="886"/>
      <c r="B115" s="883"/>
      <c r="C115" s="883"/>
      <c r="D115" s="878"/>
      <c r="E115" s="878"/>
    </row>
    <row r="116" spans="1:5" s="52" customFormat="1" ht="19.5" customHeight="1">
      <c r="A116" s="715" t="s">
        <v>371</v>
      </c>
      <c r="B116" s="728">
        <v>85000</v>
      </c>
      <c r="C116" s="728">
        <v>85000</v>
      </c>
      <c r="D116" s="731">
        <f>'1.Q prac'!L144+'1.Q prac'!L145+'1.Q prac'!L146</f>
        <v>15056</v>
      </c>
      <c r="E116" s="842">
        <f aca="true" t="shared" si="2" ref="E116:E125">D116/C116</f>
        <v>0.17712941176470587</v>
      </c>
    </row>
    <row r="117" spans="1:5" s="52" customFormat="1" ht="19.5" customHeight="1" hidden="1">
      <c r="A117" s="707" t="s">
        <v>372</v>
      </c>
      <c r="B117" s="716">
        <v>0</v>
      </c>
      <c r="C117" s="716">
        <v>0</v>
      </c>
      <c r="D117" s="716"/>
      <c r="E117" s="842" t="e">
        <f t="shared" si="2"/>
        <v>#DIV/0!</v>
      </c>
    </row>
    <row r="118" spans="1:5" s="52" customFormat="1" ht="19.5" customHeight="1" hidden="1">
      <c r="A118" s="707" t="s">
        <v>373</v>
      </c>
      <c r="B118" s="716">
        <v>0</v>
      </c>
      <c r="C118" s="716">
        <v>0</v>
      </c>
      <c r="D118" s="716"/>
      <c r="E118" s="842" t="e">
        <f t="shared" si="2"/>
        <v>#DIV/0!</v>
      </c>
    </row>
    <row r="119" spans="1:5" s="52" customFormat="1" ht="19.5" customHeight="1" hidden="1">
      <c r="A119" s="707" t="s">
        <v>397</v>
      </c>
      <c r="B119" s="716">
        <v>0</v>
      </c>
      <c r="C119" s="716">
        <v>0</v>
      </c>
      <c r="D119" s="716"/>
      <c r="E119" s="842" t="e">
        <f t="shared" si="2"/>
        <v>#DIV/0!</v>
      </c>
    </row>
    <row r="120" spans="1:5" s="52" customFormat="1" ht="19.5" customHeight="1">
      <c r="A120" s="711" t="s">
        <v>1</v>
      </c>
      <c r="B120" s="716">
        <v>5000</v>
      </c>
      <c r="C120" s="716">
        <v>5000</v>
      </c>
      <c r="D120" s="725">
        <f>'1.Q prac'!L147</f>
        <v>2481</v>
      </c>
      <c r="E120" s="842">
        <f t="shared" si="2"/>
        <v>0.4962</v>
      </c>
    </row>
    <row r="121" spans="1:5" s="52" customFormat="1" ht="19.5" customHeight="1">
      <c r="A121" s="711" t="s">
        <v>8</v>
      </c>
      <c r="B121" s="716">
        <v>50000</v>
      </c>
      <c r="C121" s="716">
        <v>50000</v>
      </c>
      <c r="D121" s="725">
        <f>'1.Q prac'!L148</f>
        <v>-39271</v>
      </c>
      <c r="E121" s="842">
        <f t="shared" si="2"/>
        <v>-0.78542</v>
      </c>
    </row>
    <row r="122" spans="1:5" s="52" customFormat="1" ht="19.5" customHeight="1">
      <c r="A122" s="711" t="s">
        <v>9</v>
      </c>
      <c r="B122" s="716">
        <v>10000</v>
      </c>
      <c r="C122" s="716">
        <v>10000</v>
      </c>
      <c r="D122" s="725">
        <f>'1.Q prac'!L149</f>
        <v>0</v>
      </c>
      <c r="E122" s="842">
        <f t="shared" si="2"/>
        <v>0</v>
      </c>
    </row>
    <row r="123" spans="1:5" s="52" customFormat="1" ht="19.5" customHeight="1">
      <c r="A123" s="711" t="s">
        <v>16</v>
      </c>
      <c r="B123" s="716">
        <v>200000</v>
      </c>
      <c r="C123" s="716">
        <v>200000</v>
      </c>
      <c r="D123" s="725">
        <f>'1.Q prac'!L150</f>
        <v>8535</v>
      </c>
      <c r="E123" s="842">
        <f t="shared" si="2"/>
        <v>0.042675</v>
      </c>
    </row>
    <row r="124" spans="1:5" s="52" customFormat="1" ht="19.5" customHeight="1">
      <c r="A124" s="711" t="s">
        <v>10</v>
      </c>
      <c r="B124" s="716">
        <v>1131691</v>
      </c>
      <c r="C124" s="716">
        <v>1131692</v>
      </c>
      <c r="D124" s="725">
        <f>'1.Q prac'!L156</f>
        <v>246101</v>
      </c>
      <c r="E124" s="842">
        <f t="shared" si="2"/>
        <v>0.21746287859240854</v>
      </c>
    </row>
    <row r="125" spans="1:5" s="52" customFormat="1" ht="19.5" customHeight="1">
      <c r="A125" s="711" t="s">
        <v>400</v>
      </c>
      <c r="B125" s="716">
        <v>263000</v>
      </c>
      <c r="C125" s="716">
        <v>263000</v>
      </c>
      <c r="D125" s="725">
        <f>'1.Q prac'!L152+'1.Q prac'!L153+'1.Q prac'!L154+'1.Q prac'!L155</f>
        <v>13183</v>
      </c>
      <c r="E125" s="842">
        <f t="shared" si="2"/>
        <v>0.050125475285171105</v>
      </c>
    </row>
    <row r="126" spans="1:5" s="52" customFormat="1" ht="19.5" customHeight="1">
      <c r="A126" s="827" t="s">
        <v>2</v>
      </c>
      <c r="B126" s="828">
        <f>SUM(B116:B125)</f>
        <v>1744691</v>
      </c>
      <c r="C126" s="716">
        <f>SUM(C116:C125)</f>
        <v>1744692</v>
      </c>
      <c r="D126" s="731">
        <f>SUM(D116:D125)</f>
        <v>246085</v>
      </c>
      <c r="E126" s="731" t="s">
        <v>173</v>
      </c>
    </row>
    <row r="127" spans="1:5" s="52" customFormat="1" ht="19.5" customHeight="1">
      <c r="A127" s="717"/>
      <c r="B127" s="718"/>
      <c r="C127" s="718"/>
      <c r="D127" s="703"/>
      <c r="E127" s="703"/>
    </row>
    <row r="128" spans="1:5" s="52" customFormat="1" ht="19.5" customHeight="1">
      <c r="A128" s="717"/>
      <c r="B128" s="718"/>
      <c r="C128" s="718"/>
      <c r="D128" s="703"/>
      <c r="E128" s="703"/>
    </row>
    <row r="129" spans="1:5" s="52" customFormat="1" ht="19.5" customHeight="1">
      <c r="A129" s="882" t="s">
        <v>379</v>
      </c>
      <c r="B129" s="883" t="s">
        <v>409</v>
      </c>
      <c r="C129" s="883" t="s">
        <v>412</v>
      </c>
      <c r="D129" s="876" t="s">
        <v>338</v>
      </c>
      <c r="E129" s="876" t="s">
        <v>415</v>
      </c>
    </row>
    <row r="130" spans="1:5" s="52" customFormat="1" ht="19.5" customHeight="1">
      <c r="A130" s="882"/>
      <c r="B130" s="883"/>
      <c r="C130" s="883"/>
      <c r="D130" s="877"/>
      <c r="E130" s="877"/>
    </row>
    <row r="131" spans="1:5" s="52" customFormat="1" ht="19.5" customHeight="1">
      <c r="A131" s="882"/>
      <c r="B131" s="883"/>
      <c r="C131" s="883"/>
      <c r="D131" s="878"/>
      <c r="E131" s="878"/>
    </row>
    <row r="132" spans="1:5" s="52" customFormat="1" ht="19.5" customHeight="1">
      <c r="A132" s="711" t="s">
        <v>11</v>
      </c>
      <c r="B132" s="716">
        <v>380000</v>
      </c>
      <c r="C132" s="716">
        <v>380000</v>
      </c>
      <c r="D132" s="725">
        <f>'1.Q prac'!L160</f>
        <v>9605</v>
      </c>
      <c r="E132" s="842">
        <f>D132/C132</f>
        <v>0.025276315789473685</v>
      </c>
    </row>
    <row r="133" spans="1:5" s="52" customFormat="1" ht="19.5" customHeight="1">
      <c r="A133" s="711" t="s">
        <v>4</v>
      </c>
      <c r="B133" s="716">
        <v>1364691</v>
      </c>
      <c r="C133" s="716">
        <v>1364691</v>
      </c>
      <c r="D133" s="725">
        <f>'1.Q prac'!L163+'1.Q prac'!L165+'1.Q prac'!L166+'1.Q prac'!L168+'1.Q prac'!L169</f>
        <v>351172</v>
      </c>
      <c r="E133" s="842">
        <f>D133/C133</f>
        <v>0.2573271165414002</v>
      </c>
    </row>
    <row r="134" spans="1:5" s="52" customFormat="1" ht="19.5" customHeight="1" hidden="1">
      <c r="A134" s="707" t="s">
        <v>401</v>
      </c>
      <c r="B134" s="716"/>
      <c r="C134" s="716"/>
      <c r="D134" s="725"/>
      <c r="E134" s="725"/>
    </row>
    <row r="135" spans="1:5" s="52" customFormat="1" ht="19.5" customHeight="1" hidden="1">
      <c r="A135" s="707" t="s">
        <v>402</v>
      </c>
      <c r="B135" s="716"/>
      <c r="C135" s="716"/>
      <c r="D135" s="725"/>
      <c r="E135" s="725"/>
    </row>
    <row r="136" spans="1:5" s="52" customFormat="1" ht="19.5" customHeight="1" hidden="1">
      <c r="A136" s="707" t="s">
        <v>403</v>
      </c>
      <c r="B136" s="716"/>
      <c r="C136" s="716"/>
      <c r="D136" s="725"/>
      <c r="E136" s="725"/>
    </row>
    <row r="137" spans="1:5" s="52" customFormat="1" ht="19.5" customHeight="1" hidden="1">
      <c r="A137" s="707" t="s">
        <v>404</v>
      </c>
      <c r="B137" s="716"/>
      <c r="C137" s="716"/>
      <c r="D137" s="725"/>
      <c r="E137" s="725"/>
    </row>
    <row r="138" spans="1:5" s="52" customFormat="1" ht="19.5" customHeight="1">
      <c r="A138" s="827" t="s">
        <v>5</v>
      </c>
      <c r="B138" s="828">
        <f>SUM(B132:B137)</f>
        <v>1744691</v>
      </c>
      <c r="C138" s="716">
        <f>SUM(C132:C137)</f>
        <v>1744691</v>
      </c>
      <c r="D138" s="731">
        <f>SUM(D132:D137)</f>
        <v>360777</v>
      </c>
      <c r="E138" s="731" t="s">
        <v>173</v>
      </c>
    </row>
    <row r="139" spans="1:5" s="52" customFormat="1" ht="19.5" customHeight="1">
      <c r="A139" s="717"/>
      <c r="B139" s="514"/>
      <c r="C139" s="514"/>
      <c r="D139" s="502"/>
      <c r="E139" s="502"/>
    </row>
    <row r="140" spans="1:5" s="52" customFormat="1" ht="19.5" customHeight="1">
      <c r="A140" s="717"/>
      <c r="B140" s="514"/>
      <c r="C140" s="514"/>
      <c r="D140" s="502"/>
      <c r="E140" s="502"/>
    </row>
    <row r="141" spans="1:5" ht="19.5" customHeight="1">
      <c r="A141" s="885" t="s">
        <v>419</v>
      </c>
      <c r="B141" s="885"/>
      <c r="C141" s="885"/>
      <c r="D141" s="885"/>
      <c r="E141" s="702"/>
    </row>
    <row r="142" spans="1:5" ht="19.5" customHeight="1">
      <c r="A142" s="886" t="s">
        <v>0</v>
      </c>
      <c r="B142" s="883" t="s">
        <v>409</v>
      </c>
      <c r="C142" s="883" t="s">
        <v>412</v>
      </c>
      <c r="D142" s="876" t="s">
        <v>338</v>
      </c>
      <c r="E142" s="876" t="s">
        <v>415</v>
      </c>
    </row>
    <row r="143" spans="1:5" ht="19.5" customHeight="1">
      <c r="A143" s="886"/>
      <c r="B143" s="883"/>
      <c r="C143" s="883"/>
      <c r="D143" s="877"/>
      <c r="E143" s="877"/>
    </row>
    <row r="144" spans="1:5" ht="19.5" customHeight="1">
      <c r="A144" s="886"/>
      <c r="B144" s="883"/>
      <c r="C144" s="883"/>
      <c r="D144" s="878"/>
      <c r="E144" s="878"/>
    </row>
    <row r="145" spans="1:5" ht="19.5" customHeight="1">
      <c r="A145" s="711" t="s">
        <v>1</v>
      </c>
      <c r="B145" s="716">
        <v>5000</v>
      </c>
      <c r="C145" s="716">
        <v>5000</v>
      </c>
      <c r="D145" s="725">
        <f>'1.Q prac'!L178</f>
        <v>0</v>
      </c>
      <c r="E145" s="725"/>
    </row>
    <row r="146" spans="1:5" ht="19.5" customHeight="1">
      <c r="A146" s="711" t="s">
        <v>8</v>
      </c>
      <c r="B146" s="716">
        <v>20000</v>
      </c>
      <c r="C146" s="716">
        <v>20000</v>
      </c>
      <c r="D146" s="725">
        <f>'1.Q prac'!L179</f>
        <v>1056</v>
      </c>
      <c r="E146" s="725"/>
    </row>
    <row r="147" spans="1:5" ht="19.5" customHeight="1">
      <c r="A147" s="711" t="s">
        <v>398</v>
      </c>
      <c r="B147" s="716">
        <v>20000</v>
      </c>
      <c r="C147" s="716">
        <v>20000</v>
      </c>
      <c r="D147" s="725">
        <f>'1.Q prac'!L181</f>
        <v>3028</v>
      </c>
      <c r="E147" s="725"/>
    </row>
    <row r="148" spans="1:5" ht="19.5" customHeight="1">
      <c r="A148" s="711" t="s">
        <v>9</v>
      </c>
      <c r="B148" s="716">
        <v>5000</v>
      </c>
      <c r="C148" s="716">
        <v>5000</v>
      </c>
      <c r="D148" s="725">
        <f>'1.Q prac'!L180</f>
        <v>0</v>
      </c>
      <c r="E148" s="725"/>
    </row>
    <row r="149" spans="1:5" ht="19.5" customHeight="1">
      <c r="A149" s="711" t="s">
        <v>10</v>
      </c>
      <c r="B149" s="716">
        <v>1108312</v>
      </c>
      <c r="C149" s="716">
        <v>1108312</v>
      </c>
      <c r="D149" s="725">
        <f>'1.Q prac'!L182</f>
        <v>227619</v>
      </c>
      <c r="E149" s="725"/>
    </row>
    <row r="150" spans="1:5" ht="19.5" customHeight="1">
      <c r="A150" s="715" t="s">
        <v>405</v>
      </c>
      <c r="B150" s="716">
        <v>80000</v>
      </c>
      <c r="C150" s="716">
        <v>80000</v>
      </c>
      <c r="D150" s="725">
        <f>'1.Q prac'!L183</f>
        <v>0</v>
      </c>
      <c r="E150" s="725"/>
    </row>
    <row r="151" spans="1:5" ht="19.5" customHeight="1">
      <c r="A151" s="715" t="s">
        <v>406</v>
      </c>
      <c r="B151" s="716">
        <v>180000</v>
      </c>
      <c r="C151" s="716">
        <v>180000</v>
      </c>
      <c r="D151" s="725">
        <f>'1.Q prac'!L185</f>
        <v>38582</v>
      </c>
      <c r="E151" s="725"/>
    </row>
    <row r="152" spans="1:5" ht="19.5" customHeight="1">
      <c r="A152" s="715" t="s">
        <v>420</v>
      </c>
      <c r="B152" s="716">
        <v>30000</v>
      </c>
      <c r="C152" s="716">
        <v>30000</v>
      </c>
      <c r="D152" s="725">
        <f>'1.Q prac'!L184</f>
        <v>4508</v>
      </c>
      <c r="E152" s="725"/>
    </row>
    <row r="153" spans="1:5" ht="19.5" customHeight="1">
      <c r="A153" s="827" t="s">
        <v>2</v>
      </c>
      <c r="B153" s="828">
        <f>SUM(B145:B152)</f>
        <v>1448312</v>
      </c>
      <c r="C153" s="716">
        <f>SUM(C145:C152)</f>
        <v>1448312</v>
      </c>
      <c r="D153" s="731">
        <f>SUM(D145:D152)</f>
        <v>274793</v>
      </c>
      <c r="E153" s="731">
        <f>SUM(E145:E152)</f>
        <v>0</v>
      </c>
    </row>
    <row r="154" spans="1:3" ht="19.5" customHeight="1">
      <c r="A154" s="717"/>
      <c r="B154" s="718"/>
      <c r="C154" s="718"/>
    </row>
    <row r="155" spans="1:5" ht="19.5" customHeight="1">
      <c r="A155" s="882" t="s">
        <v>379</v>
      </c>
      <c r="B155" s="883" t="s">
        <v>409</v>
      </c>
      <c r="C155" s="883" t="s">
        <v>412</v>
      </c>
      <c r="D155" s="876" t="s">
        <v>338</v>
      </c>
      <c r="E155" s="876" t="s">
        <v>415</v>
      </c>
    </row>
    <row r="156" spans="1:5" ht="19.5" customHeight="1">
      <c r="A156" s="882"/>
      <c r="B156" s="883"/>
      <c r="C156" s="883"/>
      <c r="D156" s="877"/>
      <c r="E156" s="877"/>
    </row>
    <row r="157" spans="1:5" ht="19.5" customHeight="1">
      <c r="A157" s="882"/>
      <c r="B157" s="883"/>
      <c r="C157" s="883"/>
      <c r="D157" s="878"/>
      <c r="E157" s="878"/>
    </row>
    <row r="158" spans="1:5" ht="19.5" customHeight="1">
      <c r="A158" s="711" t="s">
        <v>4</v>
      </c>
      <c r="B158" s="716">
        <v>1448312</v>
      </c>
      <c r="C158" s="716">
        <v>1448312</v>
      </c>
      <c r="D158" s="706">
        <f>'1.Q prac'!L192+'1.Q prac'!L191+'1.Q prac'!L190+'1.Q prac'!L189</f>
        <v>362079</v>
      </c>
      <c r="E158" s="706"/>
    </row>
    <row r="159" spans="1:5" ht="19.5" customHeight="1" hidden="1">
      <c r="A159" s="723" t="s">
        <v>408</v>
      </c>
      <c r="B159" s="716"/>
      <c r="C159" s="716"/>
      <c r="D159" s="706"/>
      <c r="E159" s="706"/>
    </row>
    <row r="160" spans="1:5" ht="19.5" customHeight="1" hidden="1">
      <c r="A160" s="723" t="s">
        <v>63</v>
      </c>
      <c r="B160" s="716"/>
      <c r="C160" s="716"/>
      <c r="D160" s="706"/>
      <c r="E160" s="706"/>
    </row>
    <row r="161" spans="1:5" ht="19.5" customHeight="1" hidden="1">
      <c r="A161" s="723" t="s">
        <v>407</v>
      </c>
      <c r="B161" s="716"/>
      <c r="C161" s="716"/>
      <c r="D161" s="706"/>
      <c r="E161" s="706"/>
    </row>
    <row r="162" spans="1:5" ht="19.5" customHeight="1">
      <c r="A162" s="715" t="s">
        <v>5</v>
      </c>
      <c r="B162" s="716">
        <f>SUM(B158:B161)</f>
        <v>1448312</v>
      </c>
      <c r="C162" s="716">
        <f>SUM(C158:C161)</f>
        <v>1448312</v>
      </c>
      <c r="D162" s="706">
        <f>SUM(D158:D161)</f>
        <v>362079</v>
      </c>
      <c r="E162" s="706"/>
    </row>
    <row r="163" spans="1:5" s="52" customFormat="1" ht="19.5" customHeight="1">
      <c r="A163" s="717"/>
      <c r="B163" s="514"/>
      <c r="C163" s="514"/>
      <c r="D163" s="502"/>
      <c r="E163" s="502"/>
    </row>
    <row r="164" spans="1:3" ht="19.5" customHeight="1">
      <c r="A164" s="717"/>
      <c r="B164" s="718"/>
      <c r="C164" s="718"/>
    </row>
    <row r="165" spans="1:4" ht="19.5" customHeight="1">
      <c r="A165" s="717" t="s">
        <v>421</v>
      </c>
      <c r="B165" s="718">
        <f>B158+B133+B106+B107+B39+B40</f>
        <v>14798774</v>
      </c>
      <c r="C165" s="514">
        <f>C158+C133+C106+C107+C39+C40</f>
        <v>14798774</v>
      </c>
      <c r="D165" s="514">
        <f>D158+D133+D106+D107+D39+D40</f>
        <v>3578917</v>
      </c>
    </row>
    <row r="166" spans="1:3" ht="19.5" customHeight="1">
      <c r="A166" s="717"/>
      <c r="B166" s="718"/>
      <c r="C166" s="718"/>
    </row>
    <row r="167" spans="1:3" ht="19.5" customHeight="1">
      <c r="A167" s="717"/>
      <c r="B167" s="718"/>
      <c r="C167" s="718"/>
    </row>
    <row r="168" spans="1:3" ht="19.5" customHeight="1">
      <c r="A168" s="717"/>
      <c r="B168" s="718"/>
      <c r="C168" s="718"/>
    </row>
    <row r="169" spans="1:3" ht="19.5" customHeight="1">
      <c r="A169" s="717"/>
      <c r="B169" s="718"/>
      <c r="C169" s="718"/>
    </row>
    <row r="170" ht="19.5" customHeight="1"/>
    <row r="171" spans="1:3" s="703" customFormat="1" ht="19.5" customHeight="1">
      <c r="A171" s="732"/>
      <c r="B171" s="733"/>
      <c r="C171" s="734"/>
    </row>
    <row r="172" spans="1:2" s="703" customFormat="1" ht="19.5" customHeight="1">
      <c r="A172" s="717"/>
      <c r="B172" s="735"/>
    </row>
    <row r="173" spans="1:2" s="703" customFormat="1" ht="19.5" customHeight="1">
      <c r="A173" s="720"/>
      <c r="B173" s="735"/>
    </row>
    <row r="174" spans="1:8" s="703" customFormat="1" ht="19.5" customHeight="1">
      <c r="A174" s="717"/>
      <c r="B174" s="733"/>
      <c r="H174" s="25"/>
    </row>
    <row r="175" spans="1:8" s="703" customFormat="1" ht="19.5" customHeight="1">
      <c r="A175" s="732"/>
      <c r="B175" s="733"/>
      <c r="H175" s="25"/>
    </row>
    <row r="176" spans="1:8" s="703" customFormat="1" ht="19.5" customHeight="1">
      <c r="A176" s="131"/>
      <c r="B176" s="733"/>
      <c r="H176" s="514"/>
    </row>
    <row r="177" spans="1:8" s="703" customFormat="1" ht="19.5" customHeight="1">
      <c r="A177" s="131"/>
      <c r="B177" s="733"/>
      <c r="H177" s="514"/>
    </row>
    <row r="178" spans="1:8" s="703" customFormat="1" ht="19.5" customHeight="1">
      <c r="A178" s="131"/>
      <c r="B178" s="733"/>
      <c r="H178" s="25"/>
    </row>
    <row r="179" spans="1:8" s="703" customFormat="1" ht="19.5" customHeight="1">
      <c r="A179" s="131"/>
      <c r="B179" s="733"/>
      <c r="H179" s="25"/>
    </row>
    <row r="180" spans="1:2" s="703" customFormat="1" ht="19.5" customHeight="1">
      <c r="A180" s="131"/>
      <c r="B180" s="733"/>
    </row>
    <row r="181" spans="1:2" s="703" customFormat="1" ht="19.5" customHeight="1">
      <c r="A181" s="131"/>
      <c r="B181" s="733"/>
    </row>
    <row r="182" spans="1:2" s="703" customFormat="1" ht="19.5" customHeight="1">
      <c r="A182" s="736"/>
      <c r="B182" s="733"/>
    </row>
    <row r="183" spans="1:2" s="703" customFormat="1" ht="19.5" customHeight="1">
      <c r="A183" s="737"/>
      <c r="B183" s="733"/>
    </row>
    <row r="184" spans="1:3" s="703" customFormat="1" ht="19.5" customHeight="1">
      <c r="A184" s="25"/>
      <c r="B184" s="733"/>
      <c r="C184" s="734"/>
    </row>
    <row r="185" spans="1:3" s="703" customFormat="1" ht="19.5" customHeight="1">
      <c r="A185" s="738"/>
      <c r="B185" s="733"/>
      <c r="C185" s="734"/>
    </row>
    <row r="186" spans="1:3" s="703" customFormat="1" ht="19.5" customHeight="1">
      <c r="A186" s="25"/>
      <c r="B186" s="733"/>
      <c r="C186" s="734"/>
    </row>
    <row r="187" spans="1:3" s="703" customFormat="1" ht="19.5" customHeight="1">
      <c r="A187" s="131"/>
      <c r="B187" s="733"/>
      <c r="C187" s="734"/>
    </row>
    <row r="188" spans="1:3" s="703" customFormat="1" ht="19.5" customHeight="1">
      <c r="A188" s="720"/>
      <c r="B188" s="733"/>
      <c r="C188" s="734"/>
    </row>
    <row r="189" spans="1:8" s="703" customFormat="1" ht="19.5" customHeight="1">
      <c r="A189" s="720"/>
      <c r="B189" s="733"/>
      <c r="C189" s="734"/>
      <c r="H189" s="739"/>
    </row>
    <row r="190" spans="1:8" s="703" customFormat="1" ht="19.5" customHeight="1">
      <c r="A190" s="720"/>
      <c r="B190" s="733"/>
      <c r="C190" s="734"/>
      <c r="H190" s="739"/>
    </row>
    <row r="191" spans="1:8" s="703" customFormat="1" ht="19.5" customHeight="1">
      <c r="A191" s="720"/>
      <c r="B191" s="733"/>
      <c r="C191" s="734"/>
      <c r="H191" s="739"/>
    </row>
    <row r="192" spans="1:8" s="703" customFormat="1" ht="19.5" customHeight="1">
      <c r="A192" s="720"/>
      <c r="B192" s="733"/>
      <c r="C192" s="734"/>
      <c r="H192" s="739"/>
    </row>
    <row r="193" spans="1:8" s="703" customFormat="1" ht="19.5" customHeight="1">
      <c r="A193" s="740"/>
      <c r="B193" s="733"/>
      <c r="C193" s="734"/>
      <c r="H193" s="739"/>
    </row>
    <row r="194" spans="1:8" s="703" customFormat="1" ht="19.5" customHeight="1">
      <c r="A194" s="720"/>
      <c r="B194" s="733"/>
      <c r="C194" s="734"/>
      <c r="H194" s="739"/>
    </row>
    <row r="195" spans="1:8" s="703" customFormat="1" ht="19.5" customHeight="1">
      <c r="A195" s="720"/>
      <c r="B195" s="733"/>
      <c r="C195" s="734"/>
      <c r="H195" s="739"/>
    </row>
    <row r="196" spans="1:8" s="703" customFormat="1" ht="19.5" customHeight="1">
      <c r="A196" s="720"/>
      <c r="B196" s="733"/>
      <c r="C196" s="734"/>
      <c r="H196" s="739"/>
    </row>
    <row r="197" spans="1:3" s="703" customFormat="1" ht="19.5" customHeight="1">
      <c r="A197" s="720"/>
      <c r="B197" s="733"/>
      <c r="C197" s="734"/>
    </row>
    <row r="198" spans="1:3" s="703" customFormat="1" ht="19.5" customHeight="1">
      <c r="A198" s="720"/>
      <c r="B198" s="733"/>
      <c r="C198" s="734"/>
    </row>
    <row r="199" spans="1:3" s="703" customFormat="1" ht="19.5" customHeight="1">
      <c r="A199" s="720"/>
      <c r="B199" s="733"/>
      <c r="C199" s="734"/>
    </row>
    <row r="200" spans="1:3" s="703" customFormat="1" ht="19.5" customHeight="1">
      <c r="A200" s="720"/>
      <c r="B200" s="733"/>
      <c r="C200" s="734"/>
    </row>
    <row r="201" spans="1:3" s="703" customFormat="1" ht="19.5" customHeight="1">
      <c r="A201" s="720"/>
      <c r="B201" s="733"/>
      <c r="C201" s="734"/>
    </row>
    <row r="202" spans="1:3" s="703" customFormat="1" ht="19.5" customHeight="1">
      <c r="A202" s="717"/>
      <c r="B202" s="733"/>
      <c r="C202" s="734"/>
    </row>
    <row r="203" spans="1:3" s="703" customFormat="1" ht="19.5" customHeight="1">
      <c r="A203" s="720"/>
      <c r="B203" s="733"/>
      <c r="C203" s="734"/>
    </row>
    <row r="204" spans="1:3" s="703" customFormat="1" ht="19.5" customHeight="1">
      <c r="A204" s="720"/>
      <c r="B204" s="733"/>
      <c r="C204" s="734"/>
    </row>
    <row r="205" spans="1:3" s="703" customFormat="1" ht="19.5" customHeight="1">
      <c r="A205" s="740"/>
      <c r="B205" s="733"/>
      <c r="C205" s="734"/>
    </row>
    <row r="206" spans="1:3" s="703" customFormat="1" ht="19.5" customHeight="1">
      <c r="A206" s="740"/>
      <c r="B206" s="733"/>
      <c r="C206" s="734"/>
    </row>
    <row r="207" spans="1:2" s="703" customFormat="1" ht="19.5" customHeight="1">
      <c r="A207" s="720"/>
      <c r="B207" s="733"/>
    </row>
    <row r="208" spans="1:2" s="703" customFormat="1" ht="19.5" customHeight="1">
      <c r="A208" s="720"/>
      <c r="B208" s="733"/>
    </row>
    <row r="209" spans="1:2" s="703" customFormat="1" ht="19.5" customHeight="1">
      <c r="A209" s="720"/>
      <c r="B209" s="733"/>
    </row>
    <row r="210" spans="1:2" s="703" customFormat="1" ht="19.5" customHeight="1">
      <c r="A210" s="720"/>
      <c r="B210" s="733"/>
    </row>
    <row r="211" spans="1:2" s="703" customFormat="1" ht="19.5" customHeight="1">
      <c r="A211" s="720"/>
      <c r="B211" s="733"/>
    </row>
    <row r="212" spans="1:3" s="703" customFormat="1" ht="19.5" customHeight="1">
      <c r="A212" s="702"/>
      <c r="B212" s="702"/>
      <c r="C212" s="702"/>
    </row>
    <row r="213" spans="1:3" s="703" customFormat="1" ht="19.5" customHeight="1">
      <c r="A213" s="717"/>
      <c r="B213" s="702"/>
      <c r="C213" s="702"/>
    </row>
    <row r="214" spans="1:3" s="703" customFormat="1" ht="19.5" customHeight="1">
      <c r="A214" s="717"/>
      <c r="B214" s="702"/>
      <c r="C214" s="702"/>
    </row>
    <row r="215" spans="1:3" s="703" customFormat="1" ht="19.5" customHeight="1">
      <c r="A215" s="25"/>
      <c r="B215" s="739"/>
      <c r="C215" s="702"/>
    </row>
    <row r="216" spans="1:3" s="703" customFormat="1" ht="19.5" customHeight="1">
      <c r="A216" s="25"/>
      <c r="B216" s="741"/>
      <c r="C216" s="25"/>
    </row>
    <row r="217" spans="1:3" s="703" customFormat="1" ht="19.5" customHeight="1">
      <c r="A217" s="25"/>
      <c r="B217" s="274"/>
      <c r="C217" s="25"/>
    </row>
    <row r="218" spans="1:3" s="703" customFormat="1" ht="19.5" customHeight="1">
      <c r="A218" s="131"/>
      <c r="B218" s="274"/>
      <c r="C218" s="25"/>
    </row>
    <row r="219" spans="1:3" s="703" customFormat="1" ht="19.5" customHeight="1">
      <c r="A219" s="131"/>
      <c r="B219" s="741"/>
      <c r="C219" s="25"/>
    </row>
    <row r="220" spans="1:3" s="703" customFormat="1" ht="19.5" customHeight="1">
      <c r="A220" s="131"/>
      <c r="B220" s="741"/>
      <c r="C220" s="25"/>
    </row>
    <row r="221" spans="1:3" s="703" customFormat="1" ht="19.5" customHeight="1">
      <c r="A221" s="131"/>
      <c r="B221" s="274"/>
      <c r="C221" s="25"/>
    </row>
    <row r="222" spans="1:3" s="703" customFormat="1" ht="19.5" customHeight="1">
      <c r="A222" s="131"/>
      <c r="B222" s="274"/>
      <c r="C222" s="25"/>
    </row>
    <row r="223" spans="1:3" s="703" customFormat="1" ht="19.5" customHeight="1">
      <c r="A223" s="131"/>
      <c r="B223" s="274"/>
      <c r="C223" s="25"/>
    </row>
    <row r="224" spans="1:3" s="703" customFormat="1" ht="19.5" customHeight="1">
      <c r="A224" s="131"/>
      <c r="B224" s="274"/>
      <c r="C224" s="25"/>
    </row>
    <row r="225" spans="1:3" s="703" customFormat="1" ht="19.5" customHeight="1">
      <c r="A225" s="131"/>
      <c r="B225" s="274"/>
      <c r="C225" s="25"/>
    </row>
    <row r="226" spans="1:3" s="703" customFormat="1" ht="19.5" customHeight="1">
      <c r="A226" s="52"/>
      <c r="B226" s="52"/>
      <c r="C226" s="25"/>
    </row>
    <row r="227" spans="1:3" s="703" customFormat="1" ht="19.5" customHeight="1">
      <c r="A227" s="717"/>
      <c r="B227" s="52"/>
      <c r="C227" s="25"/>
    </row>
    <row r="228" spans="1:3" s="703" customFormat="1" ht="19.5" customHeight="1">
      <c r="A228" s="717"/>
      <c r="B228" s="742"/>
      <c r="C228" s="25"/>
    </row>
    <row r="229" spans="1:3" ht="19.5" customHeight="1">
      <c r="A229" s="131"/>
      <c r="B229" s="741"/>
      <c r="C229" s="514"/>
    </row>
    <row r="230" spans="1:3" ht="19.5" customHeight="1">
      <c r="A230" s="131"/>
      <c r="B230" s="741"/>
      <c r="C230" s="514"/>
    </row>
    <row r="231" spans="1:3" s="703" customFormat="1" ht="19.5" customHeight="1">
      <c r="A231" s="131"/>
      <c r="B231" s="742"/>
      <c r="C231" s="25"/>
    </row>
    <row r="232" spans="1:3" s="703" customFormat="1" ht="19.5" customHeight="1">
      <c r="A232" s="131"/>
      <c r="B232" s="742"/>
      <c r="C232" s="25"/>
    </row>
    <row r="233" spans="1:2" s="703" customFormat="1" ht="19.5" customHeight="1">
      <c r="A233" s="131"/>
      <c r="B233" s="743"/>
    </row>
    <row r="234" spans="1:2" s="703" customFormat="1" ht="19.5" customHeight="1">
      <c r="A234" s="131"/>
      <c r="B234" s="743"/>
    </row>
    <row r="235" spans="1:2" s="703" customFormat="1" ht="19.5" customHeight="1">
      <c r="A235" s="25"/>
      <c r="B235" s="743"/>
    </row>
    <row r="236" spans="1:2" s="703" customFormat="1" ht="19.5" customHeight="1">
      <c r="A236" s="25"/>
      <c r="B236" s="744"/>
    </row>
    <row r="237" spans="1:2" s="703" customFormat="1" ht="19.5" customHeight="1">
      <c r="A237" s="25"/>
      <c r="B237" s="743"/>
    </row>
    <row r="238" spans="1:2" s="703" customFormat="1" ht="19.5" customHeight="1">
      <c r="A238" s="25"/>
      <c r="B238" s="744"/>
    </row>
    <row r="239" spans="1:2" s="703" customFormat="1" ht="19.5" customHeight="1">
      <c r="A239" s="25"/>
      <c r="B239" s="744"/>
    </row>
    <row r="240" spans="1:2" s="703" customFormat="1" ht="19.5" customHeight="1">
      <c r="A240" s="25"/>
      <c r="B240" s="744"/>
    </row>
    <row r="241" spans="1:2" s="703" customFormat="1" ht="19.5" customHeight="1">
      <c r="A241" s="717"/>
      <c r="B241" s="702"/>
    </row>
    <row r="242" spans="1:3" s="703" customFormat="1" ht="19.5" customHeight="1">
      <c r="A242" s="131"/>
      <c r="B242" s="739"/>
      <c r="C242" s="702"/>
    </row>
    <row r="243" spans="1:3" s="703" customFormat="1" ht="19.5" customHeight="1">
      <c r="A243" s="131"/>
      <c r="B243" s="739"/>
      <c r="C243" s="702"/>
    </row>
    <row r="244" spans="1:3" s="703" customFormat="1" ht="19.5" customHeight="1">
      <c r="A244" s="131"/>
      <c r="B244" s="739"/>
      <c r="C244" s="702"/>
    </row>
    <row r="245" spans="1:3" s="703" customFormat="1" ht="19.5" customHeight="1">
      <c r="A245" s="131"/>
      <c r="B245" s="739"/>
      <c r="C245" s="702"/>
    </row>
    <row r="246" spans="1:3" s="703" customFormat="1" ht="19.5" customHeight="1">
      <c r="A246" s="131"/>
      <c r="B246" s="739"/>
      <c r="C246" s="702"/>
    </row>
    <row r="247" spans="1:3" s="703" customFormat="1" ht="19.5" customHeight="1">
      <c r="A247" s="717"/>
      <c r="B247" s="739"/>
      <c r="C247" s="702"/>
    </row>
    <row r="248" spans="1:3" s="703" customFormat="1" ht="19.5" customHeight="1">
      <c r="A248" s="717"/>
      <c r="B248" s="739"/>
      <c r="C248" s="702"/>
    </row>
    <row r="249" spans="1:3" s="703" customFormat="1" ht="19.5" customHeight="1">
      <c r="A249" s="717"/>
      <c r="B249" s="739"/>
      <c r="C249" s="702"/>
    </row>
    <row r="250" s="703" customFormat="1" ht="19.5" customHeight="1">
      <c r="C250" s="702"/>
    </row>
    <row r="251" s="703" customFormat="1" ht="19.5" customHeight="1">
      <c r="C251" s="702"/>
    </row>
    <row r="252" s="703" customFormat="1" ht="19.5" customHeight="1">
      <c r="C252" s="702"/>
    </row>
    <row r="253" s="703" customFormat="1" ht="19.5" customHeight="1">
      <c r="C253" s="702"/>
    </row>
    <row r="254" spans="1:3" s="703" customFormat="1" ht="19.5" customHeight="1">
      <c r="A254" s="745"/>
      <c r="C254" s="702"/>
    </row>
    <row r="255" s="703" customFormat="1" ht="19.5" customHeight="1">
      <c r="C255" s="702"/>
    </row>
    <row r="256" s="703" customFormat="1" ht="19.5" customHeight="1">
      <c r="C256" s="702"/>
    </row>
    <row r="257" spans="2:3" s="703" customFormat="1" ht="19.5" customHeight="1">
      <c r="B257" s="702"/>
      <c r="C257" s="702"/>
    </row>
    <row r="258" spans="2:3" s="703" customFormat="1" ht="19.5" customHeight="1">
      <c r="B258" s="702"/>
      <c r="C258" s="702"/>
    </row>
    <row r="259" spans="2:3" s="703" customFormat="1" ht="19.5" customHeight="1">
      <c r="B259" s="702"/>
      <c r="C259" s="702"/>
    </row>
    <row r="260" spans="2:3" s="703" customFormat="1" ht="19.5" customHeight="1">
      <c r="B260" s="702"/>
      <c r="C260" s="702"/>
    </row>
    <row r="261" spans="2:3" s="703" customFormat="1" ht="19.5" customHeight="1">
      <c r="B261" s="702"/>
      <c r="C261" s="702"/>
    </row>
    <row r="262" spans="1:3" s="703" customFormat="1" ht="19.5" customHeight="1">
      <c r="A262" s="134"/>
      <c r="B262" s="702"/>
      <c r="C262" s="702"/>
    </row>
    <row r="263" spans="1:3" s="703" customFormat="1" ht="19.5" customHeight="1">
      <c r="A263" s="134"/>
      <c r="B263" s="702"/>
      <c r="C263" s="702"/>
    </row>
    <row r="264" spans="1:3" s="703" customFormat="1" ht="19.5" customHeight="1">
      <c r="A264" s="134"/>
      <c r="B264" s="702"/>
      <c r="C264" s="702"/>
    </row>
    <row r="265" spans="1:3" s="703" customFormat="1" ht="19.5" customHeight="1">
      <c r="A265" s="134"/>
      <c r="B265" s="702"/>
      <c r="C265" s="702"/>
    </row>
    <row r="266" spans="1:3" s="703" customFormat="1" ht="19.5" customHeight="1">
      <c r="A266" s="134"/>
      <c r="B266" s="702"/>
      <c r="C266" s="702"/>
    </row>
    <row r="267" spans="1:3" s="703" customFormat="1" ht="19.5" customHeight="1">
      <c r="A267" s="134"/>
      <c r="B267" s="702"/>
      <c r="C267" s="702"/>
    </row>
    <row r="268" spans="1:3" s="703" customFormat="1" ht="19.5" customHeight="1">
      <c r="A268" s="134"/>
      <c r="B268" s="702"/>
      <c r="C268" s="702"/>
    </row>
    <row r="269" spans="1:3" s="703" customFormat="1" ht="19.5" customHeight="1">
      <c r="A269" s="134"/>
      <c r="B269" s="702"/>
      <c r="C269" s="702"/>
    </row>
    <row r="270" spans="1:3" s="703" customFormat="1" ht="19.5" customHeight="1">
      <c r="A270" s="134"/>
      <c r="B270" s="702"/>
      <c r="C270" s="702"/>
    </row>
    <row r="271" spans="1:3" s="703" customFormat="1" ht="19.5" customHeight="1">
      <c r="A271" s="134"/>
      <c r="B271" s="702"/>
      <c r="C271" s="702"/>
    </row>
    <row r="272" spans="1:3" s="703" customFormat="1" ht="19.5" customHeight="1">
      <c r="A272" s="134"/>
      <c r="B272" s="702"/>
      <c r="C272" s="702"/>
    </row>
    <row r="273" spans="1:3" s="703" customFormat="1" ht="19.5" customHeight="1">
      <c r="A273" s="134"/>
      <c r="B273" s="702"/>
      <c r="C273" s="702"/>
    </row>
    <row r="274" spans="1:3" s="703" customFormat="1" ht="19.5" customHeight="1">
      <c r="A274" s="134"/>
      <c r="B274" s="702"/>
      <c r="C274" s="702"/>
    </row>
    <row r="275" spans="1:3" s="703" customFormat="1" ht="19.5" customHeight="1">
      <c r="A275" s="134"/>
      <c r="B275" s="702"/>
      <c r="C275" s="702"/>
    </row>
    <row r="276" spans="1:3" s="703" customFormat="1" ht="19.5" customHeight="1">
      <c r="A276" s="134"/>
      <c r="B276" s="702"/>
      <c r="C276" s="702"/>
    </row>
    <row r="277" spans="1:3" s="703" customFormat="1" ht="19.5" customHeight="1">
      <c r="A277" s="134"/>
      <c r="B277" s="702"/>
      <c r="C277" s="702"/>
    </row>
    <row r="278" spans="1:3" s="703" customFormat="1" ht="19.5" customHeight="1">
      <c r="A278" s="134"/>
      <c r="B278" s="702"/>
      <c r="C278" s="702"/>
    </row>
    <row r="279" spans="1:3" s="703" customFormat="1" ht="19.5" customHeight="1">
      <c r="A279" s="52"/>
      <c r="B279" s="702"/>
      <c r="C279" s="702"/>
    </row>
    <row r="280" spans="1:3" s="703" customFormat="1" ht="19.5" customHeight="1">
      <c r="A280" s="52"/>
      <c r="B280" s="702"/>
      <c r="C280" s="702"/>
    </row>
    <row r="281" spans="1:3" s="703" customFormat="1" ht="19.5" customHeight="1">
      <c r="A281" s="52"/>
      <c r="B281" s="702"/>
      <c r="C281" s="702"/>
    </row>
    <row r="282" spans="1:3" s="703" customFormat="1" ht="19.5" customHeight="1">
      <c r="A282" s="52"/>
      <c r="B282" s="52"/>
      <c r="C282" s="52"/>
    </row>
    <row r="283" spans="1:3" s="703" customFormat="1" ht="19.5" customHeight="1">
      <c r="A283" s="717"/>
      <c r="B283" s="52"/>
      <c r="C283" s="52"/>
    </row>
    <row r="284" spans="1:3" s="703" customFormat="1" ht="19.5" customHeight="1">
      <c r="A284" s="717"/>
      <c r="B284" s="52"/>
      <c r="C284" s="52"/>
    </row>
    <row r="285" spans="1:3" s="703" customFormat="1" ht="19.5" customHeight="1">
      <c r="A285" s="25"/>
      <c r="B285" s="52"/>
      <c r="C285" s="52"/>
    </row>
    <row r="286" spans="1:3" s="703" customFormat="1" ht="19.5" customHeight="1">
      <c r="A286" s="25"/>
      <c r="B286" s="52"/>
      <c r="C286" s="52"/>
    </row>
    <row r="287" spans="1:3" s="703" customFormat="1" ht="19.5" customHeight="1">
      <c r="A287" s="25"/>
      <c r="B287" s="52"/>
      <c r="C287" s="52"/>
    </row>
    <row r="288" spans="1:3" s="703" customFormat="1" ht="19.5" customHeight="1">
      <c r="A288" s="131"/>
      <c r="B288" s="52"/>
      <c r="C288" s="52"/>
    </row>
    <row r="289" spans="1:3" s="703" customFormat="1" ht="19.5" customHeight="1">
      <c r="A289" s="131"/>
      <c r="B289" s="52"/>
      <c r="C289" s="52"/>
    </row>
    <row r="290" spans="1:3" s="703" customFormat="1" ht="19.5" customHeight="1">
      <c r="A290" s="131"/>
      <c r="B290" s="52"/>
      <c r="C290" s="52"/>
    </row>
    <row r="291" spans="1:3" s="703" customFormat="1" ht="19.5" customHeight="1">
      <c r="A291" s="131"/>
      <c r="B291" s="52"/>
      <c r="C291" s="52"/>
    </row>
    <row r="292" spans="1:3" s="703" customFormat="1" ht="19.5" customHeight="1">
      <c r="A292" s="746"/>
      <c r="B292" s="52"/>
      <c r="C292" s="52"/>
    </row>
    <row r="293" spans="1:3" s="703" customFormat="1" ht="19.5" customHeight="1">
      <c r="A293" s="746"/>
      <c r="B293" s="52"/>
      <c r="C293" s="52"/>
    </row>
    <row r="294" spans="1:3" s="703" customFormat="1" ht="19.5" customHeight="1">
      <c r="A294" s="52"/>
      <c r="B294" s="52"/>
      <c r="C294" s="52"/>
    </row>
    <row r="295" spans="1:3" s="703" customFormat="1" ht="19.5" customHeight="1">
      <c r="A295" s="52"/>
      <c r="B295" s="52"/>
      <c r="C295" s="52"/>
    </row>
    <row r="296" spans="1:3" s="703" customFormat="1" ht="19.5" customHeight="1">
      <c r="A296" s="52"/>
      <c r="B296" s="52"/>
      <c r="C296" s="52"/>
    </row>
    <row r="297" spans="1:3" s="703" customFormat="1" ht="19.5" customHeight="1">
      <c r="A297" s="52"/>
      <c r="B297" s="52"/>
      <c r="C297" s="52"/>
    </row>
    <row r="298" spans="1:3" s="703" customFormat="1" ht="19.5" customHeight="1">
      <c r="A298" s="52"/>
      <c r="B298" s="52"/>
      <c r="C298" s="52"/>
    </row>
    <row r="299" spans="1:3" s="703" customFormat="1" ht="19.5" customHeight="1">
      <c r="A299" s="52"/>
      <c r="B299" s="52"/>
      <c r="C299" s="52"/>
    </row>
    <row r="300" spans="1:3" s="703" customFormat="1" ht="19.5" customHeight="1">
      <c r="A300" s="52"/>
      <c r="B300" s="52"/>
      <c r="C300" s="52"/>
    </row>
    <row r="301" spans="1:3" s="703" customFormat="1" ht="19.5" customHeight="1">
      <c r="A301" s="52"/>
      <c r="B301" s="52"/>
      <c r="C301" s="52"/>
    </row>
    <row r="302" spans="1:3" s="703" customFormat="1" ht="19.5" customHeight="1">
      <c r="A302" s="52"/>
      <c r="B302" s="52"/>
      <c r="C302" s="52"/>
    </row>
    <row r="303" spans="1:3" s="703" customFormat="1" ht="19.5" customHeight="1">
      <c r="A303" s="52"/>
      <c r="B303" s="52"/>
      <c r="C303" s="52"/>
    </row>
    <row r="304" spans="1:3" s="703" customFormat="1" ht="19.5" customHeight="1">
      <c r="A304" s="52"/>
      <c r="B304" s="52"/>
      <c r="C304" s="52"/>
    </row>
    <row r="305" spans="1:3" s="703" customFormat="1" ht="19.5" customHeight="1">
      <c r="A305" s="52"/>
      <c r="B305" s="52"/>
      <c r="C305" s="52"/>
    </row>
    <row r="306" spans="1:3" s="703" customFormat="1" ht="19.5" customHeight="1">
      <c r="A306" s="52"/>
      <c r="B306" s="733"/>
      <c r="C306" s="25"/>
    </row>
    <row r="307" spans="1:3" s="703" customFormat="1" ht="19.5" customHeight="1">
      <c r="A307" s="52"/>
      <c r="B307" s="733"/>
      <c r="C307" s="25"/>
    </row>
    <row r="308" spans="1:3" s="703" customFormat="1" ht="19.5" customHeight="1">
      <c r="A308" s="52"/>
      <c r="B308" s="52"/>
      <c r="C308" s="52"/>
    </row>
    <row r="309" spans="1:3" s="703" customFormat="1" ht="19.5" customHeight="1">
      <c r="A309" s="747"/>
      <c r="B309" s="52"/>
      <c r="C309" s="52"/>
    </row>
    <row r="310" spans="1:3" s="703" customFormat="1" ht="19.5" customHeight="1">
      <c r="A310" s="717"/>
      <c r="B310" s="52"/>
      <c r="C310" s="52"/>
    </row>
    <row r="311" spans="1:3" s="703" customFormat="1" ht="19.5" customHeight="1">
      <c r="A311" s="25"/>
      <c r="B311" s="274"/>
      <c r="C311" s="25"/>
    </row>
    <row r="312" spans="1:3" s="703" customFormat="1" ht="19.5" customHeight="1">
      <c r="A312" s="25"/>
      <c r="B312" s="274"/>
      <c r="C312" s="25"/>
    </row>
    <row r="313" spans="1:3" s="703" customFormat="1" ht="19.5" customHeight="1">
      <c r="A313" s="25"/>
      <c r="B313" s="274"/>
      <c r="C313" s="25"/>
    </row>
    <row r="314" spans="1:3" s="703" customFormat="1" ht="19.5" customHeight="1">
      <c r="A314" s="131"/>
      <c r="B314" s="274"/>
      <c r="C314" s="25"/>
    </row>
    <row r="315" spans="1:3" s="703" customFormat="1" ht="19.5" customHeight="1">
      <c r="A315" s="131"/>
      <c r="B315" s="25"/>
      <c r="C315" s="25"/>
    </row>
    <row r="316" spans="1:3" s="703" customFormat="1" ht="19.5" customHeight="1">
      <c r="A316" s="131"/>
      <c r="B316" s="25"/>
      <c r="C316" s="25"/>
    </row>
    <row r="317" spans="1:3" s="703" customFormat="1" ht="19.5" customHeight="1">
      <c r="A317" s="131"/>
      <c r="B317" s="52"/>
      <c r="C317" s="52"/>
    </row>
    <row r="318" spans="1:3" s="703" customFormat="1" ht="19.5" customHeight="1">
      <c r="A318" s="131"/>
      <c r="B318" s="52"/>
      <c r="C318" s="52"/>
    </row>
    <row r="319" spans="1:3" ht="19.5" customHeight="1">
      <c r="A319" s="131"/>
      <c r="B319" s="52"/>
      <c r="C319" s="52"/>
    </row>
    <row r="320" spans="1:3" ht="19.5" customHeight="1">
      <c r="A320" s="25"/>
      <c r="B320" s="52"/>
      <c r="C320" s="52"/>
    </row>
    <row r="321" spans="1:3" ht="19.5" customHeight="1">
      <c r="A321" s="25"/>
      <c r="B321" s="52"/>
      <c r="C321" s="52"/>
    </row>
    <row r="322" spans="1:3" ht="19.5" customHeight="1">
      <c r="A322" s="25"/>
      <c r="B322" s="52"/>
      <c r="C322" s="52"/>
    </row>
    <row r="323" spans="1:3" ht="19.5" customHeight="1">
      <c r="A323" s="25"/>
      <c r="B323" s="52"/>
      <c r="C323" s="52"/>
    </row>
    <row r="324" spans="1:3" ht="19.5" customHeight="1">
      <c r="A324" s="25"/>
      <c r="B324" s="52"/>
      <c r="C324" s="52"/>
    </row>
    <row r="325" spans="1:3" ht="19.5" customHeight="1">
      <c r="A325" s="25"/>
      <c r="B325" s="52"/>
      <c r="C325" s="52"/>
    </row>
    <row r="326" spans="1:3" ht="19.5" customHeight="1">
      <c r="A326" s="52"/>
      <c r="B326" s="52"/>
      <c r="C326" s="52"/>
    </row>
    <row r="327" spans="1:3" ht="19.5" customHeight="1">
      <c r="A327" s="52"/>
      <c r="B327" s="52"/>
      <c r="C327" s="52"/>
    </row>
    <row r="328" spans="1:3" ht="19.5" customHeight="1">
      <c r="A328" s="52"/>
      <c r="B328" s="52"/>
      <c r="C328" s="52"/>
    </row>
    <row r="329" spans="1:3" ht="19.5" customHeight="1">
      <c r="A329" s="52"/>
      <c r="B329" s="52"/>
      <c r="C329" s="52"/>
    </row>
    <row r="330" spans="1:3" ht="19.5" customHeight="1">
      <c r="A330" s="52"/>
      <c r="B330" s="52"/>
      <c r="C330" s="52"/>
    </row>
    <row r="331" spans="1:3" ht="19.5" customHeight="1">
      <c r="A331" s="52"/>
      <c r="B331" s="52"/>
      <c r="C331" s="52"/>
    </row>
    <row r="332" spans="1:3" ht="19.5" customHeight="1">
      <c r="A332" s="52"/>
      <c r="B332" s="25"/>
      <c r="C332" s="52"/>
    </row>
    <row r="333" spans="1:3" ht="19.5" customHeight="1">
      <c r="A333" s="52"/>
      <c r="B333" s="25"/>
      <c r="C333" s="25"/>
    </row>
    <row r="334" spans="1:3" ht="19.5" customHeight="1">
      <c r="A334" s="52"/>
      <c r="B334" s="52"/>
      <c r="C334" s="25"/>
    </row>
    <row r="335" spans="1:3" ht="19.5" customHeight="1">
      <c r="A335" s="52"/>
      <c r="B335" s="52"/>
      <c r="C335" s="52"/>
    </row>
    <row r="336" spans="1:3" ht="19.5" customHeight="1">
      <c r="A336" s="52"/>
      <c r="B336" s="52"/>
      <c r="C336" s="52"/>
    </row>
    <row r="337" spans="1:3" ht="19.5" customHeight="1">
      <c r="A337" s="52"/>
      <c r="B337" s="25"/>
      <c r="C337" s="25"/>
    </row>
    <row r="338" spans="1:3" ht="19.5" customHeight="1">
      <c r="A338" s="52"/>
      <c r="B338" s="25"/>
      <c r="C338" s="25"/>
    </row>
    <row r="339" spans="1:3" ht="19.5" customHeight="1">
      <c r="A339" s="52"/>
      <c r="B339" s="274"/>
      <c r="C339" s="274"/>
    </row>
    <row r="340" spans="1:3" ht="19.5" customHeight="1">
      <c r="A340" s="52"/>
      <c r="B340" s="274"/>
      <c r="C340" s="274"/>
    </row>
    <row r="341" spans="1:3" ht="19.5" customHeight="1">
      <c r="A341" s="52"/>
      <c r="B341" s="25"/>
      <c r="C341" s="25"/>
    </row>
    <row r="342" spans="1:3" ht="19.5" customHeight="1">
      <c r="A342" s="52"/>
      <c r="B342" s="25"/>
      <c r="C342" s="25"/>
    </row>
    <row r="343" spans="1:3" ht="19.5" customHeight="1">
      <c r="A343" s="52"/>
      <c r="B343" s="274"/>
      <c r="C343" s="25"/>
    </row>
    <row r="344" spans="1:3" ht="19.5" customHeight="1">
      <c r="A344" s="52"/>
      <c r="B344" s="274"/>
      <c r="C344" s="25"/>
    </row>
    <row r="345" spans="1:3" ht="19.5" customHeight="1">
      <c r="A345" s="52"/>
      <c r="B345" s="274"/>
      <c r="C345" s="25"/>
    </row>
    <row r="346" spans="1:3" ht="19.5" customHeight="1">
      <c r="A346" s="52"/>
      <c r="B346" s="274"/>
      <c r="C346" s="274"/>
    </row>
    <row r="347" spans="1:3" ht="19.5" customHeight="1">
      <c r="A347" s="52"/>
      <c r="B347" s="274"/>
      <c r="C347" s="274"/>
    </row>
    <row r="348" spans="1:3" ht="19.5" customHeight="1">
      <c r="A348" s="52"/>
      <c r="B348" s="274"/>
      <c r="C348" s="274"/>
    </row>
    <row r="349" spans="1:3" ht="19.5" customHeight="1">
      <c r="A349" s="52"/>
      <c r="B349" s="52"/>
      <c r="C349" s="52"/>
    </row>
    <row r="350" spans="1:3" ht="19.5" customHeight="1">
      <c r="A350" s="131"/>
      <c r="B350" s="52"/>
      <c r="C350" s="52"/>
    </row>
    <row r="351" spans="1:3" ht="19.5" customHeight="1">
      <c r="A351" s="131"/>
      <c r="B351" s="52"/>
      <c r="C351" s="52"/>
    </row>
    <row r="352" spans="1:3" ht="19.5" customHeight="1">
      <c r="A352" s="131"/>
      <c r="B352" s="52"/>
      <c r="C352" s="52"/>
    </row>
    <row r="353" spans="1:3" ht="19.5" customHeight="1">
      <c r="A353" s="131"/>
      <c r="B353" s="52"/>
      <c r="C353" s="52"/>
    </row>
    <row r="354" spans="1:3" ht="19.5" customHeight="1">
      <c r="A354" s="131"/>
      <c r="B354" s="52"/>
      <c r="C354" s="52"/>
    </row>
    <row r="355" spans="1:3" ht="19.5" customHeight="1">
      <c r="A355" s="131"/>
      <c r="B355" s="52"/>
      <c r="C355" s="52"/>
    </row>
    <row r="356" spans="1:3" ht="19.5" customHeight="1">
      <c r="A356" s="717"/>
      <c r="B356" s="52"/>
      <c r="C356" s="52"/>
    </row>
    <row r="357" spans="1:3" ht="19.5" customHeight="1">
      <c r="A357" s="717"/>
      <c r="B357" s="52"/>
      <c r="C357" s="52"/>
    </row>
    <row r="358" spans="1:3" ht="19.5" customHeight="1">
      <c r="A358" s="717"/>
      <c r="B358" s="52"/>
      <c r="C358" s="52"/>
    </row>
    <row r="359" spans="1:3" ht="19.5" customHeight="1">
      <c r="A359" s="52"/>
      <c r="B359" s="52"/>
      <c r="C359" s="52"/>
    </row>
    <row r="360" spans="1:3" ht="19.5" customHeight="1">
      <c r="A360" s="52"/>
      <c r="B360" s="52"/>
      <c r="C360" s="52"/>
    </row>
    <row r="361" spans="1:3" ht="19.5" customHeight="1">
      <c r="A361" s="25"/>
      <c r="B361" s="52"/>
      <c r="C361" s="52"/>
    </row>
    <row r="362" spans="1:3" ht="19.5" customHeight="1">
      <c r="A362" s="25"/>
      <c r="B362" s="52"/>
      <c r="C362" s="52"/>
    </row>
    <row r="363" spans="1:3" ht="19.5" customHeight="1">
      <c r="A363" s="25"/>
      <c r="B363" s="52"/>
      <c r="C363" s="52"/>
    </row>
    <row r="364" spans="1:3" ht="19.5" customHeight="1">
      <c r="A364" s="25"/>
      <c r="B364" s="52"/>
      <c r="C364" s="52"/>
    </row>
    <row r="365" spans="1:3" ht="19.5" customHeight="1">
      <c r="A365" s="25"/>
      <c r="B365" s="52"/>
      <c r="C365" s="52"/>
    </row>
    <row r="366" spans="1:3" ht="19.5" customHeight="1">
      <c r="A366" s="25"/>
      <c r="B366" s="52"/>
      <c r="C366" s="52"/>
    </row>
    <row r="367" spans="1:3" ht="19.5" customHeight="1">
      <c r="A367" s="25"/>
      <c r="B367" s="52"/>
      <c r="C367" s="52"/>
    </row>
    <row r="368" spans="1:3" ht="19.5" customHeight="1">
      <c r="A368" s="25"/>
      <c r="B368" s="52"/>
      <c r="C368" s="52"/>
    </row>
    <row r="369" spans="1:3" ht="19.5" customHeight="1">
      <c r="A369" s="25"/>
      <c r="B369" s="52"/>
      <c r="C369" s="52"/>
    </row>
    <row r="370" spans="1:3" ht="19.5" customHeight="1">
      <c r="A370" s="25"/>
      <c r="B370" s="52"/>
      <c r="C370" s="52"/>
    </row>
    <row r="371" spans="1:3" ht="19.5" customHeight="1">
      <c r="A371" s="25"/>
      <c r="B371" s="52"/>
      <c r="C371" s="52"/>
    </row>
    <row r="372" spans="1:3" ht="19.5" customHeight="1">
      <c r="A372" s="25"/>
      <c r="B372" s="52"/>
      <c r="C372" s="52"/>
    </row>
    <row r="373" spans="1:3" ht="19.5" customHeight="1">
      <c r="A373" s="25"/>
      <c r="B373" s="274"/>
      <c r="C373" s="274"/>
    </row>
    <row r="374" spans="1:3" ht="19.5" customHeight="1">
      <c r="A374" s="25"/>
      <c r="B374" s="274"/>
      <c r="C374" s="25"/>
    </row>
    <row r="375" spans="1:3" ht="19.5" customHeight="1">
      <c r="A375" s="25"/>
      <c r="B375" s="274"/>
      <c r="C375" s="274"/>
    </row>
    <row r="376" spans="1:3" ht="19.5" customHeight="1">
      <c r="A376" s="25"/>
      <c r="B376" s="274"/>
      <c r="C376" s="274"/>
    </row>
    <row r="377" spans="1:3" ht="19.5" customHeight="1">
      <c r="A377" s="25"/>
      <c r="B377" s="274"/>
      <c r="C377" s="274"/>
    </row>
    <row r="378" spans="1:3" ht="19.5" customHeight="1">
      <c r="A378" s="25"/>
      <c r="B378" s="274"/>
      <c r="C378" s="274"/>
    </row>
    <row r="379" spans="1:3" ht="19.5" customHeight="1">
      <c r="A379" s="25"/>
      <c r="B379" s="274"/>
      <c r="C379" s="25"/>
    </row>
    <row r="380" spans="1:3" ht="19.5" customHeight="1">
      <c r="A380" s="25"/>
      <c r="B380" s="274"/>
      <c r="C380" s="25"/>
    </row>
    <row r="381" spans="1:3" ht="19.5" customHeight="1">
      <c r="A381" s="25"/>
      <c r="B381" s="274"/>
      <c r="C381" s="274"/>
    </row>
    <row r="382" spans="1:3" ht="19.5" customHeight="1">
      <c r="A382" s="25"/>
      <c r="B382" s="52"/>
      <c r="C382" s="52"/>
    </row>
    <row r="383" spans="1:3" ht="19.5" customHeight="1">
      <c r="A383" s="25"/>
      <c r="B383" s="52"/>
      <c r="C383" s="52"/>
    </row>
    <row r="384" spans="1:3" ht="19.5" customHeight="1">
      <c r="A384" s="25"/>
      <c r="B384" s="25"/>
      <c r="C384" s="25"/>
    </row>
    <row r="385" spans="1:3" ht="19.5" customHeight="1">
      <c r="A385" s="25"/>
      <c r="B385" s="25"/>
      <c r="C385" s="25"/>
    </row>
    <row r="386" spans="1:3" ht="19.5" customHeight="1">
      <c r="A386" s="25"/>
      <c r="B386" s="25"/>
      <c r="C386" s="25"/>
    </row>
    <row r="387" spans="1:3" ht="19.5" customHeight="1">
      <c r="A387" s="25"/>
      <c r="B387" s="25"/>
      <c r="C387" s="25"/>
    </row>
    <row r="388" spans="1:3" ht="19.5" customHeight="1">
      <c r="A388" s="25"/>
      <c r="B388" s="25"/>
      <c r="C388" s="25"/>
    </row>
    <row r="389" spans="1:3" ht="19.5" customHeight="1">
      <c r="A389" s="25"/>
      <c r="B389" s="25"/>
      <c r="C389" s="25"/>
    </row>
    <row r="390" spans="1:3" ht="19.5" customHeight="1">
      <c r="A390" s="25"/>
      <c r="B390" s="25"/>
      <c r="C390" s="25"/>
    </row>
    <row r="391" spans="1:3" ht="19.5" customHeight="1">
      <c r="A391" s="25"/>
      <c r="B391" s="25"/>
      <c r="C391" s="25"/>
    </row>
    <row r="392" spans="1:3" ht="19.5" customHeight="1">
      <c r="A392" s="25"/>
      <c r="B392" s="25"/>
      <c r="C392" s="25"/>
    </row>
    <row r="393" spans="1:3" ht="19.5" customHeight="1">
      <c r="A393" s="25"/>
      <c r="B393" s="25"/>
      <c r="C393" s="25"/>
    </row>
    <row r="394" spans="1:3" ht="19.5" customHeight="1">
      <c r="A394" s="25"/>
      <c r="B394" s="25"/>
      <c r="C394" s="25"/>
    </row>
    <row r="395" spans="1:3" ht="19.5" customHeight="1">
      <c r="A395" s="25"/>
      <c r="B395" s="25"/>
      <c r="C395" s="25"/>
    </row>
    <row r="396" spans="1:3" ht="19.5" customHeight="1">
      <c r="A396" s="25"/>
      <c r="B396" s="25"/>
      <c r="C396" s="25"/>
    </row>
    <row r="397" spans="1:3" ht="19.5" customHeight="1">
      <c r="A397" s="25"/>
      <c r="B397" s="25"/>
      <c r="C397" s="25"/>
    </row>
    <row r="398" spans="1:3" ht="19.5" customHeight="1">
      <c r="A398" s="25"/>
      <c r="B398" s="25"/>
      <c r="C398" s="25"/>
    </row>
    <row r="399" spans="1:3" ht="19.5" customHeight="1">
      <c r="A399" s="25"/>
      <c r="B399" s="25"/>
      <c r="C399" s="25"/>
    </row>
    <row r="400" spans="1:3" ht="19.5" customHeight="1">
      <c r="A400" s="25"/>
      <c r="B400" s="25"/>
      <c r="C400" s="25"/>
    </row>
    <row r="401" spans="1:3" ht="19.5" customHeight="1">
      <c r="A401" s="25"/>
      <c r="B401" s="25"/>
      <c r="C401" s="25"/>
    </row>
    <row r="402" spans="1:3" ht="19.5" customHeight="1">
      <c r="A402" s="25"/>
      <c r="B402" s="25"/>
      <c r="C402" s="25"/>
    </row>
    <row r="403" spans="1:3" ht="19.5" customHeight="1">
      <c r="A403" s="25"/>
      <c r="B403" s="25"/>
      <c r="C403" s="25"/>
    </row>
    <row r="404" spans="1:3" ht="19.5" customHeight="1">
      <c r="A404" s="25"/>
      <c r="B404" s="25"/>
      <c r="C404" s="25"/>
    </row>
    <row r="405" spans="1:3" ht="19.5" customHeight="1">
      <c r="A405" s="25"/>
      <c r="B405" s="25"/>
      <c r="C405" s="25"/>
    </row>
    <row r="406" spans="1:3" ht="19.5" customHeight="1">
      <c r="A406" s="25"/>
      <c r="B406" s="25"/>
      <c r="C406" s="25"/>
    </row>
    <row r="407" spans="1:3" ht="19.5" customHeight="1">
      <c r="A407" s="25"/>
      <c r="B407" s="25"/>
      <c r="C407" s="25"/>
    </row>
    <row r="408" spans="1:3" ht="19.5" customHeight="1">
      <c r="A408" s="25"/>
      <c r="B408" s="25"/>
      <c r="C408" s="25"/>
    </row>
    <row r="409" spans="1:3" ht="19.5" customHeight="1">
      <c r="A409" s="25"/>
      <c r="B409" s="25"/>
      <c r="C409" s="25"/>
    </row>
    <row r="410" spans="1:3" ht="19.5" customHeight="1">
      <c r="A410" s="25"/>
      <c r="B410" s="25"/>
      <c r="C410" s="25"/>
    </row>
    <row r="411" spans="1:3" ht="19.5" customHeight="1">
      <c r="A411" s="25"/>
      <c r="B411" s="25"/>
      <c r="C411" s="25"/>
    </row>
    <row r="412" spans="1:3" ht="19.5" customHeight="1">
      <c r="A412" s="25"/>
      <c r="B412" s="25"/>
      <c r="C412" s="25"/>
    </row>
    <row r="413" spans="1:3" ht="19.5" customHeight="1">
      <c r="A413" s="25"/>
      <c r="B413" s="25"/>
      <c r="C413" s="25"/>
    </row>
    <row r="414" spans="1:3" ht="19.5" customHeight="1">
      <c r="A414" s="25"/>
      <c r="B414" s="25"/>
      <c r="C414" s="25"/>
    </row>
    <row r="415" spans="1:3" ht="19.5" customHeight="1">
      <c r="A415" s="25"/>
      <c r="B415" s="25"/>
      <c r="C415" s="25"/>
    </row>
    <row r="416" spans="1:3" ht="19.5" customHeight="1">
      <c r="A416" s="25"/>
      <c r="B416" s="25"/>
      <c r="C416" s="25"/>
    </row>
    <row r="417" spans="1:3" ht="19.5" customHeight="1">
      <c r="A417" s="25"/>
      <c r="B417" s="25"/>
      <c r="C417" s="25"/>
    </row>
    <row r="418" spans="1:3" ht="19.5" customHeight="1">
      <c r="A418" s="25"/>
      <c r="B418" s="25"/>
      <c r="C418" s="25"/>
    </row>
    <row r="419" spans="1:3" ht="19.5" customHeight="1">
      <c r="A419" s="25"/>
      <c r="B419" s="25"/>
      <c r="C419" s="25"/>
    </row>
    <row r="420" spans="1:3" ht="19.5" customHeight="1">
      <c r="A420" s="25"/>
      <c r="B420" s="25"/>
      <c r="C420" s="25"/>
    </row>
    <row r="421" spans="1:3" ht="19.5" customHeight="1">
      <c r="A421" s="25"/>
      <c r="B421" s="25"/>
      <c r="C421" s="25"/>
    </row>
    <row r="422" spans="1:3" ht="19.5" customHeight="1">
      <c r="A422" s="25"/>
      <c r="B422" s="25"/>
      <c r="C422" s="25"/>
    </row>
    <row r="423" spans="1:3" ht="19.5" customHeight="1">
      <c r="A423" s="25"/>
      <c r="B423" s="25"/>
      <c r="C423" s="25"/>
    </row>
    <row r="424" spans="1:3" ht="19.5" customHeight="1">
      <c r="A424" s="25"/>
      <c r="B424" s="25"/>
      <c r="C424" s="25"/>
    </row>
    <row r="425" spans="1:3" ht="19.5" customHeight="1">
      <c r="A425" s="25"/>
      <c r="B425" s="25"/>
      <c r="C425" s="25"/>
    </row>
    <row r="426" spans="1:3" ht="19.5" customHeight="1">
      <c r="A426" s="25"/>
      <c r="B426" s="25"/>
      <c r="C426" s="25"/>
    </row>
    <row r="427" spans="1:3" ht="19.5" customHeight="1">
      <c r="A427" s="25"/>
      <c r="B427" s="25"/>
      <c r="C427" s="25"/>
    </row>
    <row r="428" spans="1:3" ht="19.5" customHeight="1">
      <c r="A428" s="25"/>
      <c r="B428" s="25"/>
      <c r="C428" s="25"/>
    </row>
    <row r="429" spans="1:3" ht="19.5" customHeight="1">
      <c r="A429" s="25"/>
      <c r="B429" s="25"/>
      <c r="C429" s="25"/>
    </row>
    <row r="430" spans="1:3" ht="19.5" customHeight="1">
      <c r="A430" s="25"/>
      <c r="B430" s="25"/>
      <c r="C430" s="25"/>
    </row>
    <row r="431" spans="1:3" ht="19.5" customHeight="1">
      <c r="A431" s="25"/>
      <c r="B431" s="25"/>
      <c r="C431" s="25"/>
    </row>
    <row r="432" spans="1:3" ht="19.5" customHeight="1">
      <c r="A432" s="25"/>
      <c r="B432" s="25"/>
      <c r="C432" s="25"/>
    </row>
    <row r="433" spans="1:3" ht="19.5" customHeight="1">
      <c r="A433" s="25"/>
      <c r="B433" s="25"/>
      <c r="C433" s="25"/>
    </row>
    <row r="434" spans="1:3" ht="19.5" customHeight="1">
      <c r="A434" s="25"/>
      <c r="B434" s="25"/>
      <c r="C434" s="25"/>
    </row>
    <row r="435" spans="1:3" ht="19.5" customHeight="1">
      <c r="A435" s="25"/>
      <c r="B435" s="25"/>
      <c r="C435" s="25"/>
    </row>
    <row r="436" spans="1:3" ht="19.5" customHeight="1">
      <c r="A436" s="25"/>
      <c r="B436" s="25"/>
      <c r="C436" s="25"/>
    </row>
    <row r="437" spans="1:3" ht="19.5" customHeight="1">
      <c r="A437" s="25"/>
      <c r="B437" s="25"/>
      <c r="C437" s="25"/>
    </row>
    <row r="438" spans="1:3" ht="19.5" customHeight="1">
      <c r="A438" s="25"/>
      <c r="B438" s="25"/>
      <c r="C438" s="25"/>
    </row>
    <row r="439" spans="1:3" ht="19.5" customHeight="1">
      <c r="A439" s="25"/>
      <c r="B439" s="25"/>
      <c r="C439" s="25"/>
    </row>
    <row r="440" spans="1:3" ht="19.5" customHeight="1">
      <c r="A440" s="25"/>
      <c r="B440" s="25"/>
      <c r="C440" s="25"/>
    </row>
    <row r="441" spans="1:3" ht="19.5" customHeight="1">
      <c r="A441" s="25"/>
      <c r="B441" s="25"/>
      <c r="C441" s="25"/>
    </row>
    <row r="442" spans="1:3" ht="19.5" customHeight="1">
      <c r="A442" s="25"/>
      <c r="B442" s="25"/>
      <c r="C442" s="25"/>
    </row>
    <row r="443" spans="1:3" ht="19.5" customHeight="1">
      <c r="A443" s="25"/>
      <c r="B443" s="25"/>
      <c r="C443" s="25"/>
    </row>
    <row r="444" spans="1:3" ht="19.5" customHeight="1">
      <c r="A444" s="25"/>
      <c r="B444" s="25"/>
      <c r="C444" s="25"/>
    </row>
    <row r="445" spans="1:3" ht="19.5" customHeight="1">
      <c r="A445" s="25"/>
      <c r="B445" s="25"/>
      <c r="C445" s="25"/>
    </row>
    <row r="446" spans="1:3" ht="19.5" customHeight="1">
      <c r="A446" s="25"/>
      <c r="B446" s="25"/>
      <c r="C446" s="25"/>
    </row>
    <row r="447" spans="1:3" ht="19.5" customHeight="1">
      <c r="A447" s="25"/>
      <c r="B447" s="25"/>
      <c r="C447" s="25"/>
    </row>
    <row r="448" spans="1:3" ht="19.5" customHeight="1">
      <c r="A448" s="25"/>
      <c r="B448" s="25"/>
      <c r="C448" s="25"/>
    </row>
    <row r="449" spans="1:3" ht="19.5" customHeight="1">
      <c r="A449" s="25"/>
      <c r="B449" s="25"/>
      <c r="C449" s="25"/>
    </row>
    <row r="450" spans="1:3" ht="19.5" customHeight="1">
      <c r="A450" s="25"/>
      <c r="B450" s="25"/>
      <c r="C450" s="25"/>
    </row>
    <row r="451" spans="1:3" ht="19.5" customHeight="1">
      <c r="A451" s="25"/>
      <c r="B451" s="25"/>
      <c r="C451" s="25"/>
    </row>
    <row r="452" spans="1:3" ht="19.5" customHeight="1">
      <c r="A452" s="25"/>
      <c r="B452" s="25"/>
      <c r="C452" s="25"/>
    </row>
    <row r="453" spans="1:3" ht="19.5" customHeight="1">
      <c r="A453" s="25"/>
      <c r="B453" s="25"/>
      <c r="C453" s="25"/>
    </row>
    <row r="454" spans="1:3" ht="19.5" customHeight="1">
      <c r="A454" s="25"/>
      <c r="B454" s="25"/>
      <c r="C454" s="25"/>
    </row>
    <row r="455" spans="1:3" ht="19.5" customHeight="1">
      <c r="A455" s="25"/>
      <c r="B455" s="25"/>
      <c r="C455" s="25"/>
    </row>
    <row r="456" spans="1:3" ht="19.5" customHeight="1">
      <c r="A456" s="25"/>
      <c r="B456" s="25"/>
      <c r="C456" s="25"/>
    </row>
    <row r="457" spans="1:3" ht="19.5" customHeight="1">
      <c r="A457" s="25"/>
      <c r="B457" s="25"/>
      <c r="C457" s="25"/>
    </row>
    <row r="458" spans="1:3" ht="19.5" customHeight="1">
      <c r="A458" s="25"/>
      <c r="B458" s="25"/>
      <c r="C458" s="25"/>
    </row>
    <row r="459" spans="1:3" ht="19.5" customHeight="1">
      <c r="A459" s="25"/>
      <c r="B459" s="25"/>
      <c r="C459" s="25"/>
    </row>
    <row r="460" spans="1:3" ht="19.5" customHeight="1">
      <c r="A460" s="25"/>
      <c r="B460" s="25"/>
      <c r="C460" s="703"/>
    </row>
    <row r="461" spans="1:3" ht="19.5" customHeight="1">
      <c r="A461" s="25"/>
      <c r="B461" s="25"/>
      <c r="C461" s="703"/>
    </row>
    <row r="462" spans="1:3" ht="19.5" customHeight="1">
      <c r="A462" s="25"/>
      <c r="B462" s="25"/>
      <c r="C462" s="703"/>
    </row>
    <row r="463" spans="1:3" ht="19.5" customHeight="1">
      <c r="A463" s="25"/>
      <c r="B463" s="25"/>
      <c r="C463" s="703"/>
    </row>
    <row r="464" spans="1:3" ht="19.5" customHeight="1">
      <c r="A464" s="25"/>
      <c r="B464" s="25"/>
      <c r="C464" s="703"/>
    </row>
    <row r="465" spans="1:3" ht="19.5" customHeight="1">
      <c r="A465" s="25"/>
      <c r="B465" s="25"/>
      <c r="C465" s="703"/>
    </row>
    <row r="466" spans="1:3" ht="19.5" customHeight="1">
      <c r="A466" s="25"/>
      <c r="B466" s="25"/>
      <c r="C466" s="703"/>
    </row>
    <row r="467" spans="1:3" ht="19.5" customHeight="1">
      <c r="A467" s="25"/>
      <c r="B467" s="25"/>
      <c r="C467" s="703"/>
    </row>
    <row r="468" spans="1:3" ht="19.5" customHeight="1">
      <c r="A468" s="25"/>
      <c r="B468" s="25"/>
      <c r="C468" s="703"/>
    </row>
    <row r="469" spans="1:3" ht="19.5" customHeight="1">
      <c r="A469" s="25"/>
      <c r="B469" s="25"/>
      <c r="C469" s="703"/>
    </row>
    <row r="470" spans="1:3" ht="19.5" customHeight="1">
      <c r="A470" s="25"/>
      <c r="B470" s="25"/>
      <c r="C470" s="703"/>
    </row>
    <row r="471" spans="2:3" ht="19.5" customHeight="1">
      <c r="B471" s="25"/>
      <c r="C471" s="703"/>
    </row>
    <row r="472" spans="2:3" ht="19.5" customHeight="1">
      <c r="B472" s="25"/>
      <c r="C472" s="703"/>
    </row>
    <row r="473" spans="2:3" ht="19.5" customHeight="1">
      <c r="B473" s="25"/>
      <c r="C473" s="703"/>
    </row>
    <row r="474" spans="2:3" ht="19.5" customHeight="1">
      <c r="B474" s="25"/>
      <c r="C474" s="703"/>
    </row>
    <row r="475" spans="2:3" ht="19.5" customHeight="1">
      <c r="B475" s="25"/>
      <c r="C475" s="703"/>
    </row>
    <row r="476" spans="2:3" ht="19.5" customHeight="1">
      <c r="B476" s="25"/>
      <c r="C476" s="703"/>
    </row>
    <row r="477" spans="2:3" ht="19.5" customHeight="1">
      <c r="B477" s="25"/>
      <c r="C477" s="703"/>
    </row>
    <row r="478" spans="2:3" ht="19.5" customHeight="1">
      <c r="B478" s="25"/>
      <c r="C478" s="703"/>
    </row>
    <row r="479" spans="2:3" ht="19.5" customHeight="1">
      <c r="B479" s="25"/>
      <c r="C479" s="703"/>
    </row>
    <row r="480" spans="2:3" ht="19.5" customHeight="1">
      <c r="B480" s="25"/>
      <c r="C480" s="703"/>
    </row>
    <row r="481" spans="2:3" ht="19.5" customHeight="1">
      <c r="B481" s="25"/>
      <c r="C481" s="703"/>
    </row>
    <row r="482" spans="2:3" ht="19.5" customHeight="1">
      <c r="B482" s="25"/>
      <c r="C482" s="703"/>
    </row>
    <row r="483" spans="2:3" ht="19.5" customHeight="1">
      <c r="B483" s="25"/>
      <c r="C483" s="703"/>
    </row>
    <row r="484" spans="2:3" ht="19.5" customHeight="1">
      <c r="B484" s="703"/>
      <c r="C484" s="703"/>
    </row>
    <row r="485" spans="2:3" ht="19.5" customHeight="1">
      <c r="B485" s="703"/>
      <c r="C485" s="703"/>
    </row>
    <row r="486" spans="2:3" ht="19.5" customHeight="1">
      <c r="B486" s="703"/>
      <c r="C486" s="703"/>
    </row>
    <row r="487" spans="2:3" ht="19.5" customHeight="1">
      <c r="B487" s="703"/>
      <c r="C487" s="703"/>
    </row>
    <row r="488" spans="2:3" ht="19.5" customHeight="1">
      <c r="B488" s="703"/>
      <c r="C488" s="703"/>
    </row>
    <row r="489" spans="2:3" ht="19.5" customHeight="1">
      <c r="B489" s="703"/>
      <c r="C489" s="703"/>
    </row>
    <row r="490" spans="2:3" ht="19.5" customHeight="1">
      <c r="B490" s="703"/>
      <c r="C490" s="703"/>
    </row>
    <row r="491" spans="2:3" ht="19.5" customHeight="1">
      <c r="B491" s="703"/>
      <c r="C491" s="703"/>
    </row>
    <row r="492" spans="2:3" ht="19.5" customHeight="1">
      <c r="B492" s="703"/>
      <c r="C492" s="703"/>
    </row>
    <row r="493" spans="2:3" ht="19.5" customHeight="1">
      <c r="B493" s="703"/>
      <c r="C493" s="703"/>
    </row>
  </sheetData>
  <sheetProtection/>
  <mergeCells count="47">
    <mergeCell ref="A155:A157"/>
    <mergeCell ref="B113:B115"/>
    <mergeCell ref="C113:C115"/>
    <mergeCell ref="D113:D115"/>
    <mergeCell ref="A129:A131"/>
    <mergeCell ref="B129:B131"/>
    <mergeCell ref="C129:C131"/>
    <mergeCell ref="D129:D131"/>
    <mergeCell ref="D142:D144"/>
    <mergeCell ref="B155:B157"/>
    <mergeCell ref="A1:D1"/>
    <mergeCell ref="A2:C2"/>
    <mergeCell ref="A3:D3"/>
    <mergeCell ref="A4:A6"/>
    <mergeCell ref="B4:B6"/>
    <mergeCell ref="C4:C6"/>
    <mergeCell ref="D4:D6"/>
    <mergeCell ref="A112:D112"/>
    <mergeCell ref="A113:A115"/>
    <mergeCell ref="E4:E6"/>
    <mergeCell ref="A36:A38"/>
    <mergeCell ref="B36:B38"/>
    <mergeCell ref="C36:C38"/>
    <mergeCell ref="D36:D38"/>
    <mergeCell ref="E36:E38"/>
    <mergeCell ref="E47:F47"/>
    <mergeCell ref="A85:D85"/>
    <mergeCell ref="E86:E88"/>
    <mergeCell ref="A103:A105"/>
    <mergeCell ref="B103:B105"/>
    <mergeCell ref="C103:C105"/>
    <mergeCell ref="D103:D105"/>
    <mergeCell ref="E103:E105"/>
    <mergeCell ref="A86:A88"/>
    <mergeCell ref="B86:B88"/>
    <mergeCell ref="C86:C88"/>
    <mergeCell ref="D86:D88"/>
    <mergeCell ref="C155:C157"/>
    <mergeCell ref="D155:D157"/>
    <mergeCell ref="E155:E157"/>
    <mergeCell ref="E113:E115"/>
    <mergeCell ref="E129:E131"/>
    <mergeCell ref="A141:D141"/>
    <mergeCell ref="A142:A144"/>
    <mergeCell ref="B142:B144"/>
    <mergeCell ref="C142:C144"/>
    <mergeCell ref="E142:E144"/>
  </mergeCells>
  <printOptions/>
  <pageMargins left="0.7" right="0.7" top="0.787401575" bottom="0.787401575" header="0.3" footer="0.3"/>
  <pageSetup horizontalDpi="600" verticalDpi="600" orientation="portrait" paperSize="9" scale="89" r:id="rId1"/>
  <rowBreaks count="2" manualBreakCount="2">
    <brk id="84" max="255" man="1"/>
    <brk id="1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5"/>
  <sheetViews>
    <sheetView zoomScalePageLayoutView="0" workbookViewId="0" topLeftCell="A1">
      <selection activeCell="A2" sqref="A2:C2"/>
    </sheetView>
  </sheetViews>
  <sheetFormatPr defaultColWidth="9.125" defaultRowHeight="12.75"/>
  <cols>
    <col min="1" max="1" width="35.50390625" style="702" customWidth="1"/>
    <col min="2" max="2" width="12.50390625" style="702" customWidth="1"/>
    <col min="3" max="3" width="15.375" style="702" customWidth="1"/>
    <col min="4" max="4" width="13.125" style="703" customWidth="1"/>
    <col min="5" max="5" width="10.50390625" style="703" customWidth="1"/>
    <col min="6" max="6" width="14.375" style="702" bestFit="1" customWidth="1"/>
    <col min="7" max="16384" width="9.125" style="702" customWidth="1"/>
  </cols>
  <sheetData>
    <row r="1" spans="1:5" ht="19.5" customHeight="1">
      <c r="A1" s="879" t="s">
        <v>369</v>
      </c>
      <c r="B1" s="879"/>
      <c r="C1" s="879"/>
      <c r="D1" s="879"/>
      <c r="E1" s="702"/>
    </row>
    <row r="2" spans="1:3" ht="19.5" customHeight="1">
      <c r="A2" s="880"/>
      <c r="B2" s="880"/>
      <c r="C2" s="880"/>
    </row>
    <row r="3" spans="1:4" s="52" customFormat="1" ht="19.5" customHeight="1">
      <c r="A3" s="881" t="s">
        <v>370</v>
      </c>
      <c r="B3" s="881"/>
      <c r="C3" s="881"/>
      <c r="D3" s="881"/>
    </row>
    <row r="4" spans="1:5" ht="19.5" customHeight="1">
      <c r="A4" s="882" t="s">
        <v>7</v>
      </c>
      <c r="B4" s="883" t="s">
        <v>409</v>
      </c>
      <c r="C4" s="883" t="s">
        <v>412</v>
      </c>
      <c r="D4" s="876" t="s">
        <v>338</v>
      </c>
      <c r="E4" s="876" t="s">
        <v>415</v>
      </c>
    </row>
    <row r="5" spans="1:5" ht="19.5" customHeight="1">
      <c r="A5" s="882"/>
      <c r="B5" s="883"/>
      <c r="C5" s="883"/>
      <c r="D5" s="877"/>
      <c r="E5" s="877"/>
    </row>
    <row r="6" spans="1:5" ht="19.5" customHeight="1">
      <c r="A6" s="882"/>
      <c r="B6" s="883"/>
      <c r="C6" s="883"/>
      <c r="D6" s="878"/>
      <c r="E6" s="878"/>
    </row>
    <row r="7" spans="1:5" ht="19.5" customHeight="1">
      <c r="A7" s="704" t="s">
        <v>371</v>
      </c>
      <c r="B7" s="826">
        <v>1315800</v>
      </c>
      <c r="C7" s="826">
        <v>1315800</v>
      </c>
      <c r="D7" s="726"/>
      <c r="E7" s="842">
        <f>D7/C7</f>
        <v>0</v>
      </c>
    </row>
    <row r="8" spans="1:5" ht="19.5" customHeight="1" hidden="1">
      <c r="A8" s="707" t="s">
        <v>372</v>
      </c>
      <c r="B8" s="708"/>
      <c r="C8" s="708"/>
      <c r="D8" s="726"/>
      <c r="E8" s="842" t="e">
        <f aca="true" t="shared" si="0" ref="E8:E23">D8/C8</f>
        <v>#DIV/0!</v>
      </c>
    </row>
    <row r="9" spans="1:5" ht="19.5" customHeight="1" hidden="1">
      <c r="A9" s="707" t="s">
        <v>373</v>
      </c>
      <c r="B9" s="708"/>
      <c r="C9" s="708"/>
      <c r="D9" s="726"/>
      <c r="E9" s="842" t="e">
        <f t="shared" si="0"/>
        <v>#DIV/0!</v>
      </c>
    </row>
    <row r="10" spans="1:5" ht="19.5" customHeight="1" hidden="1">
      <c r="A10" s="707" t="s">
        <v>374</v>
      </c>
      <c r="B10" s="708"/>
      <c r="C10" s="708"/>
      <c r="D10" s="726"/>
      <c r="E10" s="842" t="e">
        <f t="shared" si="0"/>
        <v>#DIV/0!</v>
      </c>
    </row>
    <row r="11" spans="1:5" ht="19.5" customHeight="1">
      <c r="A11" s="711" t="s">
        <v>1</v>
      </c>
      <c r="B11" s="708">
        <v>50000</v>
      </c>
      <c r="C11" s="708">
        <v>50000</v>
      </c>
      <c r="D11" s="726"/>
      <c r="E11" s="842">
        <f t="shared" si="0"/>
        <v>0</v>
      </c>
    </row>
    <row r="12" spans="1:5" ht="19.5" customHeight="1">
      <c r="A12" s="711" t="s">
        <v>8</v>
      </c>
      <c r="B12" s="708">
        <v>410000</v>
      </c>
      <c r="C12" s="708">
        <v>410000</v>
      </c>
      <c r="D12" s="726"/>
      <c r="E12" s="842">
        <f t="shared" si="0"/>
        <v>0</v>
      </c>
    </row>
    <row r="13" spans="1:5" ht="19.5" customHeight="1">
      <c r="A13" s="711" t="s">
        <v>18</v>
      </c>
      <c r="B13" s="708">
        <v>1907000</v>
      </c>
      <c r="C13" s="708">
        <v>1907000</v>
      </c>
      <c r="D13" s="726"/>
      <c r="E13" s="842">
        <f t="shared" si="0"/>
        <v>0</v>
      </c>
    </row>
    <row r="14" spans="1:5" ht="19.5" customHeight="1">
      <c r="A14" s="711" t="s">
        <v>9</v>
      </c>
      <c r="B14" s="708">
        <v>1190000</v>
      </c>
      <c r="C14" s="708">
        <v>1190000</v>
      </c>
      <c r="D14" s="726"/>
      <c r="E14" s="842">
        <f t="shared" si="0"/>
        <v>0</v>
      </c>
    </row>
    <row r="15" spans="1:5" ht="19.5" customHeight="1">
      <c r="A15" s="711" t="s">
        <v>10</v>
      </c>
      <c r="B15" s="708">
        <v>5470439</v>
      </c>
      <c r="C15" s="708">
        <v>5470439</v>
      </c>
      <c r="D15" s="726"/>
      <c r="E15" s="842">
        <f t="shared" si="0"/>
        <v>0</v>
      </c>
    </row>
    <row r="16" spans="1:5" ht="19.5" customHeight="1">
      <c r="A16" s="711" t="s">
        <v>139</v>
      </c>
      <c r="B16" s="708">
        <v>50000</v>
      </c>
      <c r="C16" s="708">
        <v>50000</v>
      </c>
      <c r="D16" s="726"/>
      <c r="E16" s="842">
        <f t="shared" si="0"/>
        <v>0</v>
      </c>
    </row>
    <row r="17" spans="1:5" ht="19.5" customHeight="1">
      <c r="A17" s="711" t="s">
        <v>157</v>
      </c>
      <c r="B17" s="712">
        <v>759885</v>
      </c>
      <c r="C17" s="712">
        <v>759885</v>
      </c>
      <c r="D17" s="726"/>
      <c r="E17" s="842">
        <f t="shared" si="0"/>
        <v>0</v>
      </c>
    </row>
    <row r="18" spans="1:5" ht="19.5" customHeight="1">
      <c r="A18" s="713" t="s">
        <v>375</v>
      </c>
      <c r="B18" s="712">
        <v>10000</v>
      </c>
      <c r="C18" s="712">
        <v>10000</v>
      </c>
      <c r="D18" s="726"/>
      <c r="E18" s="842">
        <f t="shared" si="0"/>
        <v>0</v>
      </c>
    </row>
    <row r="19" spans="1:5" ht="19.5" customHeight="1">
      <c r="A19" s="714" t="s">
        <v>39</v>
      </c>
      <c r="B19" s="709">
        <v>1304500</v>
      </c>
      <c r="C19" s="709">
        <v>1304500</v>
      </c>
      <c r="D19" s="726"/>
      <c r="E19" s="842">
        <f t="shared" si="0"/>
        <v>0</v>
      </c>
    </row>
    <row r="20" spans="1:5" ht="19.5" customHeight="1">
      <c r="A20" s="845" t="s">
        <v>423</v>
      </c>
      <c r="B20" s="846"/>
      <c r="C20" s="846">
        <v>200000</v>
      </c>
      <c r="D20" s="726"/>
      <c r="E20" s="842">
        <f t="shared" si="0"/>
        <v>0</v>
      </c>
    </row>
    <row r="21" spans="1:5" ht="19.5" customHeight="1">
      <c r="A21" s="711" t="s">
        <v>376</v>
      </c>
      <c r="B21" s="709">
        <v>853000</v>
      </c>
      <c r="C21" s="709">
        <v>853000</v>
      </c>
      <c r="D21" s="726"/>
      <c r="E21" s="842">
        <f t="shared" si="0"/>
        <v>0</v>
      </c>
    </row>
    <row r="22" spans="1:5" ht="19.5" customHeight="1">
      <c r="A22" s="715" t="s">
        <v>377</v>
      </c>
      <c r="B22" s="709">
        <v>761000</v>
      </c>
      <c r="C22" s="709">
        <v>761000</v>
      </c>
      <c r="D22" s="726"/>
      <c r="E22" s="842">
        <f t="shared" si="0"/>
        <v>0</v>
      </c>
    </row>
    <row r="23" spans="1:5" ht="19.5" customHeight="1">
      <c r="A23" s="847" t="s">
        <v>410</v>
      </c>
      <c r="B23" s="846"/>
      <c r="C23" s="846">
        <v>260000</v>
      </c>
      <c r="D23" s="726">
        <f>'1.Q prac'!L57</f>
        <v>0</v>
      </c>
      <c r="E23" s="842">
        <f t="shared" si="0"/>
        <v>0</v>
      </c>
    </row>
    <row r="24" spans="1:5" ht="19.5" customHeight="1">
      <c r="A24" s="827" t="s">
        <v>378</v>
      </c>
      <c r="B24" s="829">
        <f>SUM(B7:B22)</f>
        <v>14081624</v>
      </c>
      <c r="C24" s="829">
        <f>SUM(C7:C23)</f>
        <v>14541624</v>
      </c>
      <c r="D24" s="829">
        <f>SUM(D7:D23)</f>
        <v>0</v>
      </c>
      <c r="E24" s="828"/>
    </row>
    <row r="25" spans="1:3" ht="19.5" customHeight="1">
      <c r="A25" s="717"/>
      <c r="B25" s="718"/>
      <c r="C25" s="719"/>
    </row>
    <row r="26" spans="1:3" ht="19.5" customHeight="1">
      <c r="A26" s="717"/>
      <c r="B26" s="718"/>
      <c r="C26" s="719"/>
    </row>
    <row r="27" spans="1:3" ht="19.5" customHeight="1" hidden="1">
      <c r="A27" s="717"/>
      <c r="B27" s="718"/>
      <c r="C27" s="719"/>
    </row>
    <row r="28" spans="1:3" ht="19.5" customHeight="1" hidden="1">
      <c r="A28" s="717"/>
      <c r="B28" s="718"/>
      <c r="C28" s="719"/>
    </row>
    <row r="29" spans="1:3" ht="19.5" customHeight="1" hidden="1">
      <c r="A29" s="717"/>
      <c r="B29" s="718"/>
      <c r="C29" s="719"/>
    </row>
    <row r="30" spans="1:3" ht="19.5" customHeight="1" hidden="1">
      <c r="A30" s="717"/>
      <c r="B30" s="718"/>
      <c r="C30" s="719"/>
    </row>
    <row r="31" spans="1:3" ht="19.5" customHeight="1" hidden="1">
      <c r="A31" s="717"/>
      <c r="B31" s="718"/>
      <c r="C31" s="719"/>
    </row>
    <row r="32" spans="1:3" ht="19.5" customHeight="1" hidden="1">
      <c r="A32" s="717"/>
      <c r="B32" s="718"/>
      <c r="C32" s="719"/>
    </row>
    <row r="33" spans="1:3" ht="19.5" customHeight="1" hidden="1">
      <c r="A33" s="717"/>
      <c r="B33" s="718"/>
      <c r="C33" s="719"/>
    </row>
    <row r="34" spans="1:3" ht="19.5" customHeight="1" hidden="1">
      <c r="A34" s="717"/>
      <c r="B34" s="718"/>
      <c r="C34" s="719"/>
    </row>
    <row r="35" spans="1:3" ht="19.5" customHeight="1" hidden="1">
      <c r="A35" s="717"/>
      <c r="B35" s="718"/>
      <c r="C35" s="719"/>
    </row>
    <row r="36" spans="1:5" ht="19.5" customHeight="1" hidden="1">
      <c r="A36" s="720"/>
      <c r="B36" s="514"/>
      <c r="C36" s="721"/>
      <c r="D36" s="25"/>
      <c r="E36" s="25"/>
    </row>
    <row r="37" spans="1:5" ht="19.5" customHeight="1">
      <c r="A37" s="882" t="s">
        <v>379</v>
      </c>
      <c r="B37" s="883" t="s">
        <v>409</v>
      </c>
      <c r="C37" s="883" t="s">
        <v>412</v>
      </c>
      <c r="D37" s="876" t="s">
        <v>338</v>
      </c>
      <c r="E37" s="876" t="s">
        <v>415</v>
      </c>
    </row>
    <row r="38" spans="1:5" ht="19.5" customHeight="1">
      <c r="A38" s="882"/>
      <c r="B38" s="883"/>
      <c r="C38" s="883"/>
      <c r="D38" s="877"/>
      <c r="E38" s="877"/>
    </row>
    <row r="39" spans="1:5" ht="19.5" customHeight="1">
      <c r="A39" s="882"/>
      <c r="B39" s="883"/>
      <c r="C39" s="883"/>
      <c r="D39" s="878"/>
      <c r="E39" s="878"/>
    </row>
    <row r="40" spans="1:5" ht="19.5" customHeight="1">
      <c r="A40" s="711" t="s">
        <v>4</v>
      </c>
      <c r="B40" s="716">
        <v>10350639</v>
      </c>
      <c r="C40" s="716">
        <v>10350639</v>
      </c>
      <c r="D40" s="843"/>
      <c r="E40" s="842">
        <f>D40/C40</f>
        <v>0</v>
      </c>
    </row>
    <row r="41" spans="1:5" ht="19.5" customHeight="1">
      <c r="A41" s="711" t="s">
        <v>157</v>
      </c>
      <c r="B41" s="716">
        <v>759885</v>
      </c>
      <c r="C41" s="716">
        <v>759885</v>
      </c>
      <c r="D41" s="843"/>
      <c r="E41" s="842">
        <f>D41/C41</f>
        <v>0</v>
      </c>
    </row>
    <row r="42" spans="1:5" ht="19.5" customHeight="1">
      <c r="A42" s="711" t="s">
        <v>11</v>
      </c>
      <c r="B42" s="716">
        <v>2948000</v>
      </c>
      <c r="C42" s="716">
        <v>2948000</v>
      </c>
      <c r="D42" s="843"/>
      <c r="E42" s="842">
        <f>D42/C42</f>
        <v>0</v>
      </c>
    </row>
    <row r="43" spans="1:5" ht="19.5" customHeight="1">
      <c r="A43" s="711" t="s">
        <v>12</v>
      </c>
      <c r="B43" s="716">
        <v>23100</v>
      </c>
      <c r="C43" s="716">
        <v>23100</v>
      </c>
      <c r="D43" s="843"/>
      <c r="E43" s="842">
        <f>D43/C43</f>
        <v>0</v>
      </c>
    </row>
    <row r="44" spans="1:5" ht="19.5" customHeight="1" hidden="1">
      <c r="A44" s="723" t="s">
        <v>380</v>
      </c>
      <c r="B44" s="716"/>
      <c r="C44" s="716"/>
      <c r="D44" s="726"/>
      <c r="E44" s="710"/>
    </row>
    <row r="45" spans="1:5" ht="19.5" customHeight="1" hidden="1">
      <c r="A45" s="724" t="s">
        <v>381</v>
      </c>
      <c r="B45" s="716"/>
      <c r="C45" s="725"/>
      <c r="D45" s="726"/>
      <c r="E45" s="726"/>
    </row>
    <row r="46" spans="1:5" ht="19.5" customHeight="1" hidden="1">
      <c r="A46" s="723" t="s">
        <v>382</v>
      </c>
      <c r="B46" s="716"/>
      <c r="C46" s="725"/>
      <c r="D46" s="726"/>
      <c r="E46" s="707"/>
    </row>
    <row r="47" spans="1:5" ht="19.5" customHeight="1" hidden="1">
      <c r="A47" s="727" t="s">
        <v>383</v>
      </c>
      <c r="B47" s="716"/>
      <c r="C47" s="725"/>
      <c r="D47" s="726"/>
      <c r="E47" s="707"/>
    </row>
    <row r="48" spans="1:6" ht="19.5" customHeight="1" hidden="1">
      <c r="A48" s="723" t="s">
        <v>384</v>
      </c>
      <c r="B48" s="716"/>
      <c r="C48" s="716"/>
      <c r="D48" s="726"/>
      <c r="E48" s="884"/>
      <c r="F48" s="884"/>
    </row>
    <row r="49" spans="1:5" ht="19.5" customHeight="1" hidden="1">
      <c r="A49" s="723" t="s">
        <v>385</v>
      </c>
      <c r="B49" s="716"/>
      <c r="C49" s="716"/>
      <c r="D49" s="726"/>
      <c r="E49" s="707"/>
    </row>
    <row r="50" spans="1:5" ht="19.5" customHeight="1" hidden="1">
      <c r="A50" s="707" t="s">
        <v>139</v>
      </c>
      <c r="B50" s="716"/>
      <c r="C50" s="725"/>
      <c r="D50" s="726"/>
      <c r="E50" s="707"/>
    </row>
    <row r="51" spans="1:5" ht="19.5" customHeight="1" hidden="1">
      <c r="A51" s="707" t="s">
        <v>19</v>
      </c>
      <c r="B51" s="716"/>
      <c r="C51" s="725"/>
      <c r="D51" s="726"/>
      <c r="E51" s="707"/>
    </row>
    <row r="52" spans="1:5" ht="19.5" customHeight="1" hidden="1">
      <c r="A52" s="723" t="s">
        <v>386</v>
      </c>
      <c r="B52" s="716"/>
      <c r="C52" s="725"/>
      <c r="D52" s="726"/>
      <c r="E52" s="707"/>
    </row>
    <row r="53" spans="1:5" ht="19.5" customHeight="1" hidden="1">
      <c r="A53" s="723" t="s">
        <v>387</v>
      </c>
      <c r="B53" s="716"/>
      <c r="C53" s="725"/>
      <c r="D53" s="726"/>
      <c r="E53" s="707"/>
    </row>
    <row r="54" spans="1:5" ht="19.5" customHeight="1" hidden="1">
      <c r="A54" s="723" t="s">
        <v>30</v>
      </c>
      <c r="B54" s="716"/>
      <c r="C54" s="725"/>
      <c r="D54" s="726"/>
      <c r="E54" s="707"/>
    </row>
    <row r="55" spans="1:5" ht="19.5" customHeight="1" hidden="1">
      <c r="A55" s="723" t="s">
        <v>31</v>
      </c>
      <c r="B55" s="716"/>
      <c r="C55" s="725"/>
      <c r="D55" s="726"/>
      <c r="E55" s="707"/>
    </row>
    <row r="56" spans="1:5" ht="19.5" customHeight="1" hidden="1">
      <c r="A56" s="723" t="s">
        <v>388</v>
      </c>
      <c r="B56" s="716"/>
      <c r="C56" s="725"/>
      <c r="D56" s="726"/>
      <c r="E56" s="707"/>
    </row>
    <row r="57" spans="1:5" ht="19.5" customHeight="1" hidden="1">
      <c r="A57" s="723" t="s">
        <v>389</v>
      </c>
      <c r="B57" s="716"/>
      <c r="C57" s="725"/>
      <c r="D57" s="726"/>
      <c r="E57" s="726"/>
    </row>
    <row r="58" spans="1:5" ht="19.5" customHeight="1" hidden="1">
      <c r="A58" s="723" t="s">
        <v>47</v>
      </c>
      <c r="B58" s="716"/>
      <c r="C58" s="725"/>
      <c r="D58" s="716"/>
      <c r="E58" s="716"/>
    </row>
    <row r="59" spans="1:5" ht="19.5" customHeight="1" hidden="1">
      <c r="A59" s="723" t="s">
        <v>48</v>
      </c>
      <c r="B59" s="716"/>
      <c r="C59" s="725"/>
      <c r="D59" s="716"/>
      <c r="E59" s="716"/>
    </row>
    <row r="60" spans="1:5" ht="19.5" customHeight="1" hidden="1">
      <c r="A60" s="723" t="s">
        <v>93</v>
      </c>
      <c r="B60" s="716"/>
      <c r="C60" s="725"/>
      <c r="D60" s="726"/>
      <c r="E60" s="726"/>
    </row>
    <row r="61" spans="1:5" ht="19.5" customHeight="1" hidden="1">
      <c r="A61" s="723" t="s">
        <v>180</v>
      </c>
      <c r="B61" s="716"/>
      <c r="C61" s="725"/>
      <c r="D61" s="726"/>
      <c r="E61" s="707"/>
    </row>
    <row r="62" spans="1:5" ht="19.5" customHeight="1" hidden="1">
      <c r="A62" s="723" t="s">
        <v>390</v>
      </c>
      <c r="B62" s="716"/>
      <c r="C62" s="725"/>
      <c r="D62" s="726"/>
      <c r="E62" s="707"/>
    </row>
    <row r="63" spans="1:5" ht="19.5" customHeight="1" hidden="1">
      <c r="A63" s="723" t="s">
        <v>391</v>
      </c>
      <c r="B63" s="716"/>
      <c r="C63" s="725"/>
      <c r="D63" s="726"/>
      <c r="E63" s="707"/>
    </row>
    <row r="64" spans="1:5" ht="19.5" customHeight="1" hidden="1">
      <c r="A64" s="723" t="s">
        <v>392</v>
      </c>
      <c r="B64" s="716"/>
      <c r="C64" s="725"/>
      <c r="D64" s="726"/>
      <c r="E64" s="707"/>
    </row>
    <row r="65" spans="1:5" ht="19.5" customHeight="1" hidden="1">
      <c r="A65" s="723" t="s">
        <v>393</v>
      </c>
      <c r="B65" s="716"/>
      <c r="C65" s="725"/>
      <c r="D65" s="726"/>
      <c r="E65" s="707"/>
    </row>
    <row r="66" spans="1:5" ht="19.5" customHeight="1" hidden="1">
      <c r="A66" s="723" t="s">
        <v>394</v>
      </c>
      <c r="B66" s="716"/>
      <c r="C66" s="725"/>
      <c r="D66" s="726"/>
      <c r="E66" s="707"/>
    </row>
    <row r="67" spans="1:5" ht="19.5" customHeight="1" hidden="1">
      <c r="A67" s="723" t="s">
        <v>395</v>
      </c>
      <c r="B67" s="716"/>
      <c r="C67" s="725"/>
      <c r="D67" s="726"/>
      <c r="E67" s="707"/>
    </row>
    <row r="68" spans="1:5" ht="19.5" customHeight="1">
      <c r="A68" s="847" t="s">
        <v>422</v>
      </c>
      <c r="B68" s="848"/>
      <c r="C68" s="849">
        <v>260000</v>
      </c>
      <c r="D68" s="726"/>
      <c r="E68" s="842">
        <f>D68/C68</f>
        <v>0</v>
      </c>
    </row>
    <row r="69" spans="1:5" ht="19.5" customHeight="1">
      <c r="A69" s="845" t="s">
        <v>423</v>
      </c>
      <c r="B69" s="848"/>
      <c r="C69" s="849">
        <v>200000</v>
      </c>
      <c r="D69" s="726"/>
      <c r="E69" s="842"/>
    </row>
    <row r="70" spans="1:5" s="52" customFormat="1" ht="19.5" customHeight="1">
      <c r="A70" s="827" t="s">
        <v>13</v>
      </c>
      <c r="B70" s="829">
        <f>SUM(B40:B67)</f>
        <v>14081624</v>
      </c>
      <c r="C70" s="829">
        <f>SUM(C40:C69)</f>
        <v>14541624</v>
      </c>
      <c r="D70" s="725">
        <f>SUM(D40:D68)</f>
        <v>0</v>
      </c>
      <c r="E70" s="706" t="s">
        <v>173</v>
      </c>
    </row>
    <row r="71" spans="1:5" s="52" customFormat="1" ht="19.5" customHeight="1" hidden="1">
      <c r="A71" s="717"/>
      <c r="B71" s="718"/>
      <c r="C71" s="718"/>
      <c r="D71" s="25"/>
      <c r="E71" s="25"/>
    </row>
    <row r="72" spans="1:5" s="52" customFormat="1" ht="19.5" customHeight="1" hidden="1">
      <c r="A72" s="717"/>
      <c r="B72" s="718"/>
      <c r="C72" s="718"/>
      <c r="D72" s="25"/>
      <c r="E72" s="25"/>
    </row>
    <row r="73" spans="1:5" s="52" customFormat="1" ht="19.5" customHeight="1" hidden="1">
      <c r="A73" s="717"/>
      <c r="B73" s="718"/>
      <c r="C73" s="718"/>
      <c r="D73" s="25"/>
      <c r="E73" s="25"/>
    </row>
    <row r="74" spans="1:5" s="52" customFormat="1" ht="19.5" customHeight="1" hidden="1">
      <c r="A74" s="717"/>
      <c r="B74" s="718"/>
      <c r="C74" s="718"/>
      <c r="D74" s="25"/>
      <c r="E74" s="25"/>
    </row>
    <row r="75" spans="1:5" s="52" customFormat="1" ht="19.5" customHeight="1" hidden="1">
      <c r="A75" s="717"/>
      <c r="B75" s="718"/>
      <c r="C75" s="718"/>
      <c r="D75" s="25"/>
      <c r="E75" s="25"/>
    </row>
    <row r="76" spans="1:5" s="52" customFormat="1" ht="19.5" customHeight="1" hidden="1">
      <c r="A76" s="717"/>
      <c r="B76" s="718"/>
      <c r="C76" s="718"/>
      <c r="D76" s="25"/>
      <c r="E76" s="25"/>
    </row>
    <row r="77" spans="3:5" s="52" customFormat="1" ht="19.5" customHeight="1" hidden="1">
      <c r="C77" s="718"/>
      <c r="D77" s="25"/>
      <c r="E77" s="25"/>
    </row>
    <row r="78" spans="3:5" s="52" customFormat="1" ht="19.5" customHeight="1" hidden="1">
      <c r="C78" s="718"/>
      <c r="D78" s="25"/>
      <c r="E78" s="25"/>
    </row>
    <row r="79" spans="1:5" s="52" customFormat="1" ht="19.5" customHeight="1" hidden="1">
      <c r="A79" s="717"/>
      <c r="B79" s="718"/>
      <c r="C79" s="718"/>
      <c r="D79" s="25"/>
      <c r="E79" s="25"/>
    </row>
    <row r="80" spans="1:5" s="52" customFormat="1" ht="19.5" customHeight="1">
      <c r="A80" s="717"/>
      <c r="B80" s="718"/>
      <c r="C80" s="718"/>
      <c r="D80" s="25"/>
      <c r="E80" s="25"/>
    </row>
    <row r="81" spans="1:5" s="52" customFormat="1" ht="19.5" customHeight="1">
      <c r="A81" s="717"/>
      <c r="B81" s="718"/>
      <c r="C81" s="718"/>
      <c r="D81" s="25"/>
      <c r="E81" s="25"/>
    </row>
    <row r="82" spans="1:5" s="52" customFormat="1" ht="19.5" customHeight="1" hidden="1">
      <c r="A82" s="717"/>
      <c r="B82" s="514"/>
      <c r="C82" s="514"/>
      <c r="D82" s="502"/>
      <c r="E82" s="502"/>
    </row>
    <row r="83" spans="1:5" s="52" customFormat="1" ht="19.5" customHeight="1" hidden="1">
      <c r="A83" s="717"/>
      <c r="B83" s="514"/>
      <c r="C83" s="514"/>
      <c r="D83" s="502"/>
      <c r="E83" s="502"/>
    </row>
    <row r="84" spans="1:5" s="52" customFormat="1" ht="19.5" customHeight="1" hidden="1">
      <c r="A84" s="717"/>
      <c r="B84" s="514"/>
      <c r="C84" s="514"/>
      <c r="D84" s="502"/>
      <c r="E84" s="502"/>
    </row>
    <row r="85" spans="1:5" s="52" customFormat="1" ht="19.5" customHeight="1" hidden="1">
      <c r="A85" s="717"/>
      <c r="B85" s="514"/>
      <c r="C85" s="514"/>
      <c r="D85" s="502"/>
      <c r="E85" s="502"/>
    </row>
    <row r="86" spans="1:5" s="52" customFormat="1" ht="19.5" customHeight="1">
      <c r="A86" s="717"/>
      <c r="B86" s="718"/>
      <c r="C86" s="718"/>
      <c r="D86" s="25"/>
      <c r="E86" s="25"/>
    </row>
    <row r="87" spans="1:5" ht="19.5" customHeight="1">
      <c r="A87" s="885" t="s">
        <v>14</v>
      </c>
      <c r="B87" s="885"/>
      <c r="C87" s="885"/>
      <c r="D87" s="885"/>
      <c r="E87" s="702"/>
    </row>
    <row r="88" spans="1:5" ht="19.5" customHeight="1">
      <c r="A88" s="886" t="s">
        <v>0</v>
      </c>
      <c r="B88" s="883" t="s">
        <v>409</v>
      </c>
      <c r="C88" s="883" t="s">
        <v>412</v>
      </c>
      <c r="D88" s="876" t="s">
        <v>338</v>
      </c>
      <c r="E88" s="876" t="s">
        <v>415</v>
      </c>
    </row>
    <row r="89" spans="1:5" ht="19.5" customHeight="1">
      <c r="A89" s="886"/>
      <c r="B89" s="883"/>
      <c r="C89" s="883"/>
      <c r="D89" s="877"/>
      <c r="E89" s="877"/>
    </row>
    <row r="90" spans="1:5" ht="19.5" customHeight="1">
      <c r="A90" s="886"/>
      <c r="B90" s="883"/>
      <c r="C90" s="883"/>
      <c r="D90" s="878"/>
      <c r="E90" s="878"/>
    </row>
    <row r="91" spans="1:5" ht="19.5" customHeight="1">
      <c r="A91" s="715" t="s">
        <v>371</v>
      </c>
      <c r="B91" s="728">
        <v>178000</v>
      </c>
      <c r="C91" s="728">
        <v>178000</v>
      </c>
      <c r="D91" s="706"/>
      <c r="E91" s="842">
        <f aca="true" t="shared" si="1" ref="E91:E99">D91/C91</f>
        <v>0</v>
      </c>
    </row>
    <row r="92" spans="1:5" ht="19.5" customHeight="1" hidden="1">
      <c r="A92" s="707" t="s">
        <v>372</v>
      </c>
      <c r="B92" s="716"/>
      <c r="C92" s="716"/>
      <c r="D92" s="710"/>
      <c r="E92" s="842" t="e">
        <f t="shared" si="1"/>
        <v>#DIV/0!</v>
      </c>
    </row>
    <row r="93" spans="1:5" ht="19.5" customHeight="1" hidden="1">
      <c r="A93" s="707" t="s">
        <v>396</v>
      </c>
      <c r="B93" s="716"/>
      <c r="C93" s="716"/>
      <c r="D93" s="710"/>
      <c r="E93" s="842" t="e">
        <f t="shared" si="1"/>
        <v>#DIV/0!</v>
      </c>
    </row>
    <row r="94" spans="1:5" ht="19.5" customHeight="1" hidden="1">
      <c r="A94" s="707" t="s">
        <v>397</v>
      </c>
      <c r="B94" s="716"/>
      <c r="C94" s="716"/>
      <c r="D94" s="710"/>
      <c r="E94" s="842" t="e">
        <f t="shared" si="1"/>
        <v>#DIV/0!</v>
      </c>
    </row>
    <row r="95" spans="1:5" ht="19.5" customHeight="1">
      <c r="A95" s="711" t="s">
        <v>1</v>
      </c>
      <c r="B95" s="716">
        <v>15000</v>
      </c>
      <c r="C95" s="716">
        <v>15000</v>
      </c>
      <c r="D95" s="706"/>
      <c r="E95" s="842">
        <f t="shared" si="1"/>
        <v>0</v>
      </c>
    </row>
    <row r="96" spans="1:5" ht="19.5" customHeight="1">
      <c r="A96" s="711" t="s">
        <v>8</v>
      </c>
      <c r="B96" s="716">
        <v>7000</v>
      </c>
      <c r="C96" s="716">
        <v>7000</v>
      </c>
      <c r="D96" s="706"/>
      <c r="E96" s="842">
        <f t="shared" si="1"/>
        <v>0</v>
      </c>
    </row>
    <row r="97" spans="1:5" ht="19.5" customHeight="1">
      <c r="A97" s="711" t="s">
        <v>398</v>
      </c>
      <c r="B97" s="716">
        <v>100000</v>
      </c>
      <c r="C97" s="716">
        <v>100000</v>
      </c>
      <c r="D97" s="706"/>
      <c r="E97" s="842">
        <f t="shared" si="1"/>
        <v>0</v>
      </c>
    </row>
    <row r="98" spans="1:5" ht="19.5" customHeight="1">
      <c r="A98" s="711" t="s">
        <v>10</v>
      </c>
      <c r="B98" s="716">
        <v>590481</v>
      </c>
      <c r="C98" s="716">
        <v>590481</v>
      </c>
      <c r="D98" s="706"/>
      <c r="E98" s="842">
        <f t="shared" si="1"/>
        <v>0</v>
      </c>
    </row>
    <row r="99" spans="1:5" ht="19.5" customHeight="1">
      <c r="A99" s="729" t="s">
        <v>399</v>
      </c>
      <c r="B99" s="716">
        <v>24766</v>
      </c>
      <c r="C99" s="716">
        <v>24766</v>
      </c>
      <c r="D99" s="706"/>
      <c r="E99" s="842">
        <f t="shared" si="1"/>
        <v>0</v>
      </c>
    </row>
    <row r="100" spans="1:5" ht="19.5" customHeight="1" hidden="1">
      <c r="A100" s="729" t="s">
        <v>197</v>
      </c>
      <c r="B100" s="716"/>
      <c r="C100" s="716"/>
      <c r="D100" s="710"/>
      <c r="E100" s="710"/>
    </row>
    <row r="101" spans="1:5" ht="19.5" customHeight="1" hidden="1">
      <c r="A101" s="707" t="s">
        <v>9</v>
      </c>
      <c r="B101" s="716"/>
      <c r="C101" s="716"/>
      <c r="D101" s="710"/>
      <c r="E101" s="710"/>
    </row>
    <row r="102" spans="1:5" ht="19.5" customHeight="1">
      <c r="A102" s="827" t="s">
        <v>2</v>
      </c>
      <c r="B102" s="828">
        <f>SUM(B91:B101)</f>
        <v>915247</v>
      </c>
      <c r="C102" s="828">
        <f>SUM(C91:C101)</f>
        <v>915247</v>
      </c>
      <c r="D102" s="706">
        <f>SUM(D91:D99)</f>
        <v>0</v>
      </c>
      <c r="E102" s="706" t="s">
        <v>173</v>
      </c>
    </row>
    <row r="103" spans="1:3" ht="19.5" customHeight="1">
      <c r="A103" s="717"/>
      <c r="B103" s="718"/>
      <c r="C103" s="718"/>
    </row>
    <row r="104" spans="1:3" ht="19.5" customHeight="1">
      <c r="A104" s="717"/>
      <c r="B104" s="718"/>
      <c r="C104" s="718"/>
    </row>
    <row r="105" spans="1:5" ht="19.5" customHeight="1">
      <c r="A105" s="882" t="s">
        <v>379</v>
      </c>
      <c r="B105" s="883" t="s">
        <v>409</v>
      </c>
      <c r="C105" s="883" t="s">
        <v>412</v>
      </c>
      <c r="D105" s="876" t="s">
        <v>338</v>
      </c>
      <c r="E105" s="876" t="s">
        <v>415</v>
      </c>
    </row>
    <row r="106" spans="1:5" ht="19.5" customHeight="1">
      <c r="A106" s="882"/>
      <c r="B106" s="883"/>
      <c r="C106" s="883"/>
      <c r="D106" s="877"/>
      <c r="E106" s="877"/>
    </row>
    <row r="107" spans="1:5" ht="19.5" customHeight="1">
      <c r="A107" s="882"/>
      <c r="B107" s="883"/>
      <c r="C107" s="883"/>
      <c r="D107" s="878"/>
      <c r="E107" s="878"/>
    </row>
    <row r="108" spans="1:5" ht="19.5" customHeight="1">
      <c r="A108" s="711" t="s">
        <v>4</v>
      </c>
      <c r="B108" s="730">
        <v>850481</v>
      </c>
      <c r="C108" s="730">
        <v>850481</v>
      </c>
      <c r="D108" s="706"/>
      <c r="E108" s="842">
        <f>D108/C108</f>
        <v>0</v>
      </c>
    </row>
    <row r="109" spans="1:5" ht="19.5" customHeight="1">
      <c r="A109" s="729" t="s">
        <v>399</v>
      </c>
      <c r="B109" s="730">
        <v>24766</v>
      </c>
      <c r="C109" s="730">
        <v>24766</v>
      </c>
      <c r="D109" s="706"/>
      <c r="E109" s="842">
        <f>D109/C109</f>
        <v>0</v>
      </c>
    </row>
    <row r="110" spans="1:5" ht="19.5" customHeight="1">
      <c r="A110" s="711" t="s">
        <v>11</v>
      </c>
      <c r="B110" s="730">
        <v>40000</v>
      </c>
      <c r="C110" s="730">
        <v>40000</v>
      </c>
      <c r="D110" s="706"/>
      <c r="E110" s="842">
        <f>D110/C110</f>
        <v>0</v>
      </c>
    </row>
    <row r="111" spans="1:5" ht="19.5" customHeight="1">
      <c r="A111" s="715" t="s">
        <v>5</v>
      </c>
      <c r="B111" s="716">
        <f>SUM(B107:B110)</f>
        <v>915247</v>
      </c>
      <c r="C111" s="716">
        <f>SUM(C107:C110)</f>
        <v>915247</v>
      </c>
      <c r="D111" s="706">
        <f>SUM(D108:D110)</f>
        <v>0</v>
      </c>
      <c r="E111" s="706"/>
    </row>
    <row r="112" spans="1:3" ht="19.5" customHeight="1">
      <c r="A112" s="717"/>
      <c r="B112" s="718"/>
      <c r="C112" s="718"/>
    </row>
    <row r="113" spans="4:5" ht="19.5" customHeight="1">
      <c r="D113" s="702"/>
      <c r="E113" s="702"/>
    </row>
    <row r="114" spans="1:5" s="52" customFormat="1" ht="19.5" customHeight="1">
      <c r="A114" s="885" t="s">
        <v>418</v>
      </c>
      <c r="B114" s="885"/>
      <c r="C114" s="885"/>
      <c r="D114" s="885"/>
      <c r="E114" s="702"/>
    </row>
    <row r="115" spans="1:5" s="52" customFormat="1" ht="19.5" customHeight="1">
      <c r="A115" s="886" t="s">
        <v>0</v>
      </c>
      <c r="B115" s="883" t="s">
        <v>409</v>
      </c>
      <c r="C115" s="883" t="s">
        <v>412</v>
      </c>
      <c r="D115" s="876" t="s">
        <v>338</v>
      </c>
      <c r="E115" s="876" t="s">
        <v>415</v>
      </c>
    </row>
    <row r="116" spans="1:5" s="52" customFormat="1" ht="19.5" customHeight="1">
      <c r="A116" s="886"/>
      <c r="B116" s="883"/>
      <c r="C116" s="883"/>
      <c r="D116" s="877"/>
      <c r="E116" s="877"/>
    </row>
    <row r="117" spans="1:5" s="52" customFormat="1" ht="19.5" customHeight="1">
      <c r="A117" s="886"/>
      <c r="B117" s="883"/>
      <c r="C117" s="883"/>
      <c r="D117" s="878"/>
      <c r="E117" s="878"/>
    </row>
    <row r="118" spans="1:5" s="52" customFormat="1" ht="19.5" customHeight="1">
      <c r="A118" s="715" t="s">
        <v>371</v>
      </c>
      <c r="B118" s="728">
        <v>85000</v>
      </c>
      <c r="C118" s="728">
        <v>85000</v>
      </c>
      <c r="D118" s="731"/>
      <c r="E118" s="842">
        <f aca="true" t="shared" si="2" ref="E118:E127">D118/C118</f>
        <v>0</v>
      </c>
    </row>
    <row r="119" spans="1:5" s="52" customFormat="1" ht="19.5" customHeight="1" hidden="1">
      <c r="A119" s="707" t="s">
        <v>372</v>
      </c>
      <c r="B119" s="716">
        <v>0</v>
      </c>
      <c r="C119" s="716">
        <v>0</v>
      </c>
      <c r="D119" s="716"/>
      <c r="E119" s="842" t="e">
        <f t="shared" si="2"/>
        <v>#DIV/0!</v>
      </c>
    </row>
    <row r="120" spans="1:5" s="52" customFormat="1" ht="19.5" customHeight="1" hidden="1">
      <c r="A120" s="707" t="s">
        <v>373</v>
      </c>
      <c r="B120" s="716">
        <v>0</v>
      </c>
      <c r="C120" s="716">
        <v>0</v>
      </c>
      <c r="D120" s="716"/>
      <c r="E120" s="842" t="e">
        <f t="shared" si="2"/>
        <v>#DIV/0!</v>
      </c>
    </row>
    <row r="121" spans="1:5" s="52" customFormat="1" ht="19.5" customHeight="1" hidden="1">
      <c r="A121" s="707" t="s">
        <v>397</v>
      </c>
      <c r="B121" s="716">
        <v>0</v>
      </c>
      <c r="C121" s="716">
        <v>0</v>
      </c>
      <c r="D121" s="716"/>
      <c r="E121" s="842" t="e">
        <f t="shared" si="2"/>
        <v>#DIV/0!</v>
      </c>
    </row>
    <row r="122" spans="1:5" s="52" customFormat="1" ht="19.5" customHeight="1">
      <c r="A122" s="711" t="s">
        <v>1</v>
      </c>
      <c r="B122" s="716">
        <v>5000</v>
      </c>
      <c r="C122" s="716">
        <v>5000</v>
      </c>
      <c r="D122" s="725"/>
      <c r="E122" s="842">
        <f t="shared" si="2"/>
        <v>0</v>
      </c>
    </row>
    <row r="123" spans="1:5" s="52" customFormat="1" ht="19.5" customHeight="1">
      <c r="A123" s="711" t="s">
        <v>8</v>
      </c>
      <c r="B123" s="716">
        <v>50000</v>
      </c>
      <c r="C123" s="716">
        <v>50000</v>
      </c>
      <c r="D123" s="725"/>
      <c r="E123" s="842">
        <f t="shared" si="2"/>
        <v>0</v>
      </c>
    </row>
    <row r="124" spans="1:5" s="52" customFormat="1" ht="19.5" customHeight="1">
      <c r="A124" s="711" t="s">
        <v>9</v>
      </c>
      <c r="B124" s="716">
        <v>10000</v>
      </c>
      <c r="C124" s="716">
        <v>10000</v>
      </c>
      <c r="D124" s="725"/>
      <c r="E124" s="842">
        <f t="shared" si="2"/>
        <v>0</v>
      </c>
    </row>
    <row r="125" spans="1:5" s="52" customFormat="1" ht="19.5" customHeight="1">
      <c r="A125" s="711" t="s">
        <v>16</v>
      </c>
      <c r="B125" s="716">
        <v>200000</v>
      </c>
      <c r="C125" s="716">
        <v>200000</v>
      </c>
      <c r="D125" s="725"/>
      <c r="E125" s="842">
        <f t="shared" si="2"/>
        <v>0</v>
      </c>
    </row>
    <row r="126" spans="1:5" s="52" customFormat="1" ht="19.5" customHeight="1">
      <c r="A126" s="711" t="s">
        <v>10</v>
      </c>
      <c r="B126" s="716">
        <v>1131691</v>
      </c>
      <c r="C126" s="716">
        <v>1131692</v>
      </c>
      <c r="D126" s="725"/>
      <c r="E126" s="842">
        <f t="shared" si="2"/>
        <v>0</v>
      </c>
    </row>
    <row r="127" spans="1:5" s="52" customFormat="1" ht="19.5" customHeight="1">
      <c r="A127" s="711" t="s">
        <v>400</v>
      </c>
      <c r="B127" s="716">
        <v>263000</v>
      </c>
      <c r="C127" s="716">
        <v>263000</v>
      </c>
      <c r="D127" s="725"/>
      <c r="E127" s="842">
        <f t="shared" si="2"/>
        <v>0</v>
      </c>
    </row>
    <row r="128" spans="1:5" s="52" customFormat="1" ht="19.5" customHeight="1">
      <c r="A128" s="827" t="s">
        <v>2</v>
      </c>
      <c r="B128" s="828">
        <f>SUM(B118:B127)</f>
        <v>1744691</v>
      </c>
      <c r="C128" s="716">
        <f>SUM(C118:C127)</f>
        <v>1744692</v>
      </c>
      <c r="D128" s="731">
        <f>SUM(D118:D127)</f>
        <v>0</v>
      </c>
      <c r="E128" s="731" t="s">
        <v>173</v>
      </c>
    </row>
    <row r="129" spans="1:5" s="52" customFormat="1" ht="19.5" customHeight="1">
      <c r="A129" s="717"/>
      <c r="B129" s="718"/>
      <c r="C129" s="718"/>
      <c r="D129" s="703"/>
      <c r="E129" s="703"/>
    </row>
    <row r="130" spans="1:5" s="52" customFormat="1" ht="19.5" customHeight="1">
      <c r="A130" s="717"/>
      <c r="B130" s="718"/>
      <c r="C130" s="718"/>
      <c r="D130" s="703"/>
      <c r="E130" s="703"/>
    </row>
    <row r="131" spans="1:5" s="52" customFormat="1" ht="19.5" customHeight="1">
      <c r="A131" s="882" t="s">
        <v>379</v>
      </c>
      <c r="B131" s="883" t="s">
        <v>409</v>
      </c>
      <c r="C131" s="883" t="s">
        <v>412</v>
      </c>
      <c r="D131" s="876" t="s">
        <v>338</v>
      </c>
      <c r="E131" s="876" t="s">
        <v>415</v>
      </c>
    </row>
    <row r="132" spans="1:5" s="52" customFormat="1" ht="19.5" customHeight="1">
      <c r="A132" s="882"/>
      <c r="B132" s="883"/>
      <c r="C132" s="883"/>
      <c r="D132" s="877"/>
      <c r="E132" s="877"/>
    </row>
    <row r="133" spans="1:5" s="52" customFormat="1" ht="19.5" customHeight="1">
      <c r="A133" s="882"/>
      <c r="B133" s="883"/>
      <c r="C133" s="883"/>
      <c r="D133" s="878"/>
      <c r="E133" s="878"/>
    </row>
    <row r="134" spans="1:5" s="52" customFormat="1" ht="19.5" customHeight="1">
      <c r="A134" s="711" t="s">
        <v>11</v>
      </c>
      <c r="B134" s="716">
        <v>380000</v>
      </c>
      <c r="C134" s="716">
        <v>380000</v>
      </c>
      <c r="D134" s="725"/>
      <c r="E134" s="842">
        <f>D134/C134</f>
        <v>0</v>
      </c>
    </row>
    <row r="135" spans="1:5" s="52" customFormat="1" ht="19.5" customHeight="1">
      <c r="A135" s="711" t="s">
        <v>4</v>
      </c>
      <c r="B135" s="716">
        <v>1364691</v>
      </c>
      <c r="C135" s="716">
        <v>1364691</v>
      </c>
      <c r="D135" s="725"/>
      <c r="E135" s="842">
        <f>D135/C135</f>
        <v>0</v>
      </c>
    </row>
    <row r="136" spans="1:5" s="52" customFormat="1" ht="19.5" customHeight="1" hidden="1">
      <c r="A136" s="707" t="s">
        <v>401</v>
      </c>
      <c r="B136" s="716"/>
      <c r="C136" s="716"/>
      <c r="D136" s="725"/>
      <c r="E136" s="725"/>
    </row>
    <row r="137" spans="1:5" s="52" customFormat="1" ht="19.5" customHeight="1" hidden="1">
      <c r="A137" s="707" t="s">
        <v>402</v>
      </c>
      <c r="B137" s="716"/>
      <c r="C137" s="716"/>
      <c r="D137" s="725"/>
      <c r="E137" s="725"/>
    </row>
    <row r="138" spans="1:5" s="52" customFormat="1" ht="19.5" customHeight="1" hidden="1">
      <c r="A138" s="707" t="s">
        <v>403</v>
      </c>
      <c r="B138" s="716"/>
      <c r="C138" s="716"/>
      <c r="D138" s="725"/>
      <c r="E138" s="725"/>
    </row>
    <row r="139" spans="1:5" s="52" customFormat="1" ht="19.5" customHeight="1" hidden="1">
      <c r="A139" s="707" t="s">
        <v>404</v>
      </c>
      <c r="B139" s="716"/>
      <c r="C139" s="716"/>
      <c r="D139" s="725"/>
      <c r="E139" s="725"/>
    </row>
    <row r="140" spans="1:5" s="52" customFormat="1" ht="19.5" customHeight="1">
      <c r="A140" s="827" t="s">
        <v>5</v>
      </c>
      <c r="B140" s="828">
        <f>SUM(B134:B139)</f>
        <v>1744691</v>
      </c>
      <c r="C140" s="716">
        <f>SUM(C134:C139)</f>
        <v>1744691</v>
      </c>
      <c r="D140" s="731">
        <f>SUM(D134:D139)</f>
        <v>0</v>
      </c>
      <c r="E140" s="731" t="s">
        <v>173</v>
      </c>
    </row>
    <row r="141" spans="1:5" s="52" customFormat="1" ht="19.5" customHeight="1">
      <c r="A141" s="717"/>
      <c r="B141" s="514"/>
      <c r="C141" s="514"/>
      <c r="D141" s="502"/>
      <c r="E141" s="502"/>
    </row>
    <row r="142" spans="1:5" s="52" customFormat="1" ht="19.5" customHeight="1">
      <c r="A142" s="717"/>
      <c r="B142" s="514"/>
      <c r="C142" s="514"/>
      <c r="D142" s="502"/>
      <c r="E142" s="502"/>
    </row>
    <row r="143" spans="1:5" ht="19.5" customHeight="1">
      <c r="A143" s="885" t="s">
        <v>419</v>
      </c>
      <c r="B143" s="885"/>
      <c r="C143" s="885"/>
      <c r="D143" s="885"/>
      <c r="E143" s="702"/>
    </row>
    <row r="144" spans="1:5" ht="19.5" customHeight="1">
      <c r="A144" s="886" t="s">
        <v>0</v>
      </c>
      <c r="B144" s="883" t="s">
        <v>409</v>
      </c>
      <c r="C144" s="883" t="s">
        <v>412</v>
      </c>
      <c r="D144" s="876" t="s">
        <v>338</v>
      </c>
      <c r="E144" s="876" t="s">
        <v>415</v>
      </c>
    </row>
    <row r="145" spans="1:5" ht="19.5" customHeight="1">
      <c r="A145" s="886"/>
      <c r="B145" s="883"/>
      <c r="C145" s="883"/>
      <c r="D145" s="877"/>
      <c r="E145" s="877"/>
    </row>
    <row r="146" spans="1:5" ht="19.5" customHeight="1">
      <c r="A146" s="886"/>
      <c r="B146" s="883"/>
      <c r="C146" s="883"/>
      <c r="D146" s="878"/>
      <c r="E146" s="878"/>
    </row>
    <row r="147" spans="1:5" ht="19.5" customHeight="1">
      <c r="A147" s="711" t="s">
        <v>1</v>
      </c>
      <c r="B147" s="716">
        <v>5000</v>
      </c>
      <c r="C147" s="716">
        <v>5000</v>
      </c>
      <c r="D147" s="725"/>
      <c r="E147" s="725"/>
    </row>
    <row r="148" spans="1:5" ht="19.5" customHeight="1">
      <c r="A148" s="711" t="s">
        <v>8</v>
      </c>
      <c r="B148" s="716">
        <v>20000</v>
      </c>
      <c r="C148" s="716">
        <v>20000</v>
      </c>
      <c r="D148" s="725"/>
      <c r="E148" s="725"/>
    </row>
    <row r="149" spans="1:5" ht="19.5" customHeight="1">
      <c r="A149" s="711" t="s">
        <v>398</v>
      </c>
      <c r="B149" s="716">
        <v>20000</v>
      </c>
      <c r="C149" s="716">
        <v>20000</v>
      </c>
      <c r="D149" s="725"/>
      <c r="E149" s="725"/>
    </row>
    <row r="150" spans="1:5" ht="19.5" customHeight="1">
      <c r="A150" s="711" t="s">
        <v>9</v>
      </c>
      <c r="B150" s="716">
        <v>5000</v>
      </c>
      <c r="C150" s="716">
        <v>5000</v>
      </c>
      <c r="D150" s="725"/>
      <c r="E150" s="725"/>
    </row>
    <row r="151" spans="1:5" ht="19.5" customHeight="1">
      <c r="A151" s="711" t="s">
        <v>10</v>
      </c>
      <c r="B151" s="716">
        <v>1108312</v>
      </c>
      <c r="C151" s="716">
        <v>1108312</v>
      </c>
      <c r="D151" s="725"/>
      <c r="E151" s="725"/>
    </row>
    <row r="152" spans="1:5" ht="19.5" customHeight="1">
      <c r="A152" s="715" t="s">
        <v>405</v>
      </c>
      <c r="B152" s="716">
        <v>80000</v>
      </c>
      <c r="C152" s="716">
        <v>80000</v>
      </c>
      <c r="D152" s="725"/>
      <c r="E152" s="725"/>
    </row>
    <row r="153" spans="1:5" ht="19.5" customHeight="1">
      <c r="A153" s="715" t="s">
        <v>406</v>
      </c>
      <c r="B153" s="716">
        <v>180000</v>
      </c>
      <c r="C153" s="716">
        <v>180000</v>
      </c>
      <c r="D153" s="725"/>
      <c r="E153" s="725"/>
    </row>
    <row r="154" spans="1:5" ht="19.5" customHeight="1">
      <c r="A154" s="715" t="s">
        <v>420</v>
      </c>
      <c r="B154" s="716">
        <v>30000</v>
      </c>
      <c r="C154" s="716">
        <v>30000</v>
      </c>
      <c r="D154" s="725"/>
      <c r="E154" s="725"/>
    </row>
    <row r="155" spans="1:5" ht="19.5" customHeight="1">
      <c r="A155" s="827" t="s">
        <v>2</v>
      </c>
      <c r="B155" s="828">
        <f>SUM(B147:B154)</f>
        <v>1448312</v>
      </c>
      <c r="C155" s="716">
        <f>SUM(C147:C154)</f>
        <v>1448312</v>
      </c>
      <c r="D155" s="731">
        <f>SUM(D147:D154)</f>
        <v>0</v>
      </c>
      <c r="E155" s="731">
        <f>SUM(E147:E154)</f>
        <v>0</v>
      </c>
    </row>
    <row r="156" spans="1:3" ht="19.5" customHeight="1">
      <c r="A156" s="717"/>
      <c r="B156" s="718"/>
      <c r="C156" s="718"/>
    </row>
    <row r="157" spans="1:5" ht="19.5" customHeight="1">
      <c r="A157" s="882" t="s">
        <v>379</v>
      </c>
      <c r="B157" s="883" t="s">
        <v>409</v>
      </c>
      <c r="C157" s="883" t="s">
        <v>412</v>
      </c>
      <c r="D157" s="876" t="s">
        <v>338</v>
      </c>
      <c r="E157" s="876" t="s">
        <v>415</v>
      </c>
    </row>
    <row r="158" spans="1:5" ht="19.5" customHeight="1">
      <c r="A158" s="882"/>
      <c r="B158" s="883"/>
      <c r="C158" s="883"/>
      <c r="D158" s="877"/>
      <c r="E158" s="877"/>
    </row>
    <row r="159" spans="1:5" ht="19.5" customHeight="1">
      <c r="A159" s="882"/>
      <c r="B159" s="883"/>
      <c r="C159" s="883"/>
      <c r="D159" s="878"/>
      <c r="E159" s="878"/>
    </row>
    <row r="160" spans="1:5" ht="19.5" customHeight="1">
      <c r="A160" s="711" t="s">
        <v>4</v>
      </c>
      <c r="B160" s="716">
        <v>1448312</v>
      </c>
      <c r="C160" s="716">
        <v>1448312</v>
      </c>
      <c r="D160" s="706"/>
      <c r="E160" s="706"/>
    </row>
    <row r="161" spans="1:5" ht="19.5" customHeight="1" hidden="1">
      <c r="A161" s="723" t="s">
        <v>408</v>
      </c>
      <c r="B161" s="716"/>
      <c r="C161" s="716"/>
      <c r="D161" s="706"/>
      <c r="E161" s="706"/>
    </row>
    <row r="162" spans="1:5" ht="19.5" customHeight="1" hidden="1">
      <c r="A162" s="723" t="s">
        <v>63</v>
      </c>
      <c r="B162" s="716"/>
      <c r="C162" s="716"/>
      <c r="D162" s="706"/>
      <c r="E162" s="706"/>
    </row>
    <row r="163" spans="1:5" ht="19.5" customHeight="1" hidden="1">
      <c r="A163" s="723" t="s">
        <v>407</v>
      </c>
      <c r="B163" s="716"/>
      <c r="C163" s="716"/>
      <c r="D163" s="706"/>
      <c r="E163" s="706"/>
    </row>
    <row r="164" spans="1:5" ht="19.5" customHeight="1">
      <c r="A164" s="715" t="s">
        <v>5</v>
      </c>
      <c r="B164" s="716">
        <f>SUM(B160:B163)</f>
        <v>1448312</v>
      </c>
      <c r="C164" s="716">
        <f>SUM(C160:C163)</f>
        <v>1448312</v>
      </c>
      <c r="D164" s="706">
        <f>SUM(D160:D163)</f>
        <v>0</v>
      </c>
      <c r="E164" s="706"/>
    </row>
    <row r="165" spans="1:5" s="52" customFormat="1" ht="19.5" customHeight="1">
      <c r="A165" s="717"/>
      <c r="B165" s="514"/>
      <c r="C165" s="514"/>
      <c r="D165" s="502"/>
      <c r="E165" s="502"/>
    </row>
    <row r="166" spans="1:3" ht="19.5" customHeight="1">
      <c r="A166" s="717"/>
      <c r="B166" s="718"/>
      <c r="C166" s="718"/>
    </row>
    <row r="167" spans="1:4" ht="19.5" customHeight="1">
      <c r="A167" s="717" t="s">
        <v>421</v>
      </c>
      <c r="B167" s="718">
        <f>B160+B135+B108+B109+B40+B41</f>
        <v>14798774</v>
      </c>
      <c r="C167" s="514">
        <f>C160+C135+C108+C109+C40+C41</f>
        <v>14798774</v>
      </c>
      <c r="D167" s="514">
        <f>D160+D135+D108+D109+D40+D41</f>
        <v>0</v>
      </c>
    </row>
    <row r="168" spans="1:3" ht="19.5" customHeight="1">
      <c r="A168" s="717"/>
      <c r="B168" s="718"/>
      <c r="C168" s="718"/>
    </row>
    <row r="169" spans="1:3" ht="19.5" customHeight="1">
      <c r="A169" s="717"/>
      <c r="B169" s="718"/>
      <c r="C169" s="718"/>
    </row>
    <row r="170" spans="1:3" ht="19.5" customHeight="1">
      <c r="A170" s="717"/>
      <c r="B170" s="718"/>
      <c r="C170" s="718"/>
    </row>
    <row r="171" spans="1:3" ht="19.5" customHeight="1">
      <c r="A171" s="717"/>
      <c r="B171" s="718"/>
      <c r="C171" s="718"/>
    </row>
    <row r="172" ht="19.5" customHeight="1"/>
    <row r="173" spans="1:3" s="703" customFormat="1" ht="19.5" customHeight="1">
      <c r="A173" s="732"/>
      <c r="B173" s="733"/>
      <c r="C173" s="734"/>
    </row>
    <row r="174" spans="1:2" s="703" customFormat="1" ht="19.5" customHeight="1">
      <c r="A174" s="717"/>
      <c r="B174" s="735"/>
    </row>
    <row r="175" spans="1:2" s="703" customFormat="1" ht="19.5" customHeight="1">
      <c r="A175" s="720"/>
      <c r="B175" s="735"/>
    </row>
    <row r="176" spans="1:8" s="703" customFormat="1" ht="19.5" customHeight="1">
      <c r="A176" s="717"/>
      <c r="B176" s="733"/>
      <c r="H176" s="25"/>
    </row>
    <row r="177" spans="1:8" s="703" customFormat="1" ht="19.5" customHeight="1">
      <c r="A177" s="732"/>
      <c r="B177" s="733"/>
      <c r="H177" s="25"/>
    </row>
    <row r="178" spans="1:8" s="703" customFormat="1" ht="19.5" customHeight="1">
      <c r="A178" s="131"/>
      <c r="B178" s="733"/>
      <c r="H178" s="514"/>
    </row>
    <row r="179" spans="1:8" s="703" customFormat="1" ht="19.5" customHeight="1">
      <c r="A179" s="131"/>
      <c r="B179" s="733"/>
      <c r="H179" s="514"/>
    </row>
    <row r="180" spans="1:8" s="703" customFormat="1" ht="19.5" customHeight="1">
      <c r="A180" s="131"/>
      <c r="B180" s="733"/>
      <c r="H180" s="25"/>
    </row>
    <row r="181" spans="1:8" s="703" customFormat="1" ht="19.5" customHeight="1">
      <c r="A181" s="131"/>
      <c r="B181" s="733"/>
      <c r="H181" s="25"/>
    </row>
    <row r="182" spans="1:2" s="703" customFormat="1" ht="19.5" customHeight="1">
      <c r="A182" s="131"/>
      <c r="B182" s="733"/>
    </row>
    <row r="183" spans="1:2" s="703" customFormat="1" ht="19.5" customHeight="1">
      <c r="A183" s="131"/>
      <c r="B183" s="733"/>
    </row>
    <row r="184" spans="1:2" s="703" customFormat="1" ht="19.5" customHeight="1">
      <c r="A184" s="736"/>
      <c r="B184" s="733"/>
    </row>
    <row r="185" spans="1:2" s="703" customFormat="1" ht="19.5" customHeight="1">
      <c r="A185" s="737"/>
      <c r="B185" s="733"/>
    </row>
    <row r="186" spans="1:3" s="703" customFormat="1" ht="19.5" customHeight="1">
      <c r="A186" s="25"/>
      <c r="B186" s="733"/>
      <c r="C186" s="734"/>
    </row>
    <row r="187" spans="1:3" s="703" customFormat="1" ht="19.5" customHeight="1">
      <c r="A187" s="738"/>
      <c r="B187" s="733"/>
      <c r="C187" s="734"/>
    </row>
    <row r="188" spans="1:3" s="703" customFormat="1" ht="19.5" customHeight="1">
      <c r="A188" s="25"/>
      <c r="B188" s="733"/>
      <c r="C188" s="734"/>
    </row>
    <row r="189" spans="1:3" s="703" customFormat="1" ht="19.5" customHeight="1">
      <c r="A189" s="131"/>
      <c r="B189" s="733"/>
      <c r="C189" s="734"/>
    </row>
    <row r="190" spans="1:3" s="703" customFormat="1" ht="19.5" customHeight="1">
      <c r="A190" s="720"/>
      <c r="B190" s="733"/>
      <c r="C190" s="734"/>
    </row>
    <row r="191" spans="1:8" s="703" customFormat="1" ht="19.5" customHeight="1">
      <c r="A191" s="720"/>
      <c r="B191" s="733"/>
      <c r="C191" s="734"/>
      <c r="H191" s="739"/>
    </row>
    <row r="192" spans="1:8" s="703" customFormat="1" ht="19.5" customHeight="1">
      <c r="A192" s="720"/>
      <c r="B192" s="733"/>
      <c r="C192" s="734"/>
      <c r="H192" s="739"/>
    </row>
    <row r="193" spans="1:8" s="703" customFormat="1" ht="19.5" customHeight="1">
      <c r="A193" s="720"/>
      <c r="B193" s="733"/>
      <c r="C193" s="734"/>
      <c r="H193" s="739"/>
    </row>
    <row r="194" spans="1:8" s="703" customFormat="1" ht="19.5" customHeight="1">
      <c r="A194" s="720"/>
      <c r="B194" s="733"/>
      <c r="C194" s="734"/>
      <c r="H194" s="739"/>
    </row>
    <row r="195" spans="1:8" s="703" customFormat="1" ht="19.5" customHeight="1">
      <c r="A195" s="740"/>
      <c r="B195" s="733"/>
      <c r="C195" s="734"/>
      <c r="H195" s="739"/>
    </row>
    <row r="196" spans="1:8" s="703" customFormat="1" ht="19.5" customHeight="1">
      <c r="A196" s="720"/>
      <c r="B196" s="733"/>
      <c r="C196" s="734"/>
      <c r="H196" s="739"/>
    </row>
    <row r="197" spans="1:8" s="703" customFormat="1" ht="19.5" customHeight="1">
      <c r="A197" s="720"/>
      <c r="B197" s="733"/>
      <c r="C197" s="734"/>
      <c r="H197" s="739"/>
    </row>
    <row r="198" spans="1:8" s="703" customFormat="1" ht="19.5" customHeight="1">
      <c r="A198" s="720"/>
      <c r="B198" s="733"/>
      <c r="C198" s="734"/>
      <c r="H198" s="739"/>
    </row>
    <row r="199" spans="1:3" s="703" customFormat="1" ht="19.5" customHeight="1">
      <c r="A199" s="720"/>
      <c r="B199" s="733"/>
      <c r="C199" s="734"/>
    </row>
    <row r="200" spans="1:3" s="703" customFormat="1" ht="19.5" customHeight="1">
      <c r="A200" s="720"/>
      <c r="B200" s="733"/>
      <c r="C200" s="734"/>
    </row>
    <row r="201" spans="1:3" s="703" customFormat="1" ht="19.5" customHeight="1">
      <c r="A201" s="720"/>
      <c r="B201" s="733"/>
      <c r="C201" s="734"/>
    </row>
    <row r="202" spans="1:3" s="703" customFormat="1" ht="19.5" customHeight="1">
      <c r="A202" s="720"/>
      <c r="B202" s="733"/>
      <c r="C202" s="734"/>
    </row>
    <row r="203" spans="1:3" s="703" customFormat="1" ht="19.5" customHeight="1">
      <c r="A203" s="720"/>
      <c r="B203" s="733"/>
      <c r="C203" s="734"/>
    </row>
    <row r="204" spans="1:3" s="703" customFormat="1" ht="19.5" customHeight="1">
      <c r="A204" s="717"/>
      <c r="B204" s="733"/>
      <c r="C204" s="734"/>
    </row>
    <row r="205" spans="1:3" s="703" customFormat="1" ht="19.5" customHeight="1">
      <c r="A205" s="720"/>
      <c r="B205" s="733"/>
      <c r="C205" s="734"/>
    </row>
    <row r="206" spans="1:3" s="703" customFormat="1" ht="19.5" customHeight="1">
      <c r="A206" s="720"/>
      <c r="B206" s="733"/>
      <c r="C206" s="734"/>
    </row>
    <row r="207" spans="1:3" s="703" customFormat="1" ht="19.5" customHeight="1">
      <c r="A207" s="740"/>
      <c r="B207" s="733"/>
      <c r="C207" s="734"/>
    </row>
    <row r="208" spans="1:3" s="703" customFormat="1" ht="19.5" customHeight="1">
      <c r="A208" s="740"/>
      <c r="B208" s="733"/>
      <c r="C208" s="734"/>
    </row>
    <row r="209" spans="1:2" s="703" customFormat="1" ht="19.5" customHeight="1">
      <c r="A209" s="720"/>
      <c r="B209" s="733"/>
    </row>
    <row r="210" spans="1:2" s="703" customFormat="1" ht="19.5" customHeight="1">
      <c r="A210" s="720"/>
      <c r="B210" s="733"/>
    </row>
    <row r="211" spans="1:2" s="703" customFormat="1" ht="19.5" customHeight="1">
      <c r="A211" s="720"/>
      <c r="B211" s="733"/>
    </row>
    <row r="212" spans="1:2" s="703" customFormat="1" ht="19.5" customHeight="1">
      <c r="A212" s="720"/>
      <c r="B212" s="733"/>
    </row>
    <row r="213" spans="1:2" s="703" customFormat="1" ht="19.5" customHeight="1">
      <c r="A213" s="720"/>
      <c r="B213" s="733"/>
    </row>
    <row r="214" spans="1:3" s="703" customFormat="1" ht="19.5" customHeight="1">
      <c r="A214" s="702"/>
      <c r="B214" s="702"/>
      <c r="C214" s="702"/>
    </row>
    <row r="215" spans="1:3" s="703" customFormat="1" ht="19.5" customHeight="1">
      <c r="A215" s="717"/>
      <c r="B215" s="702"/>
      <c r="C215" s="702"/>
    </row>
    <row r="216" spans="1:3" s="703" customFormat="1" ht="19.5" customHeight="1">
      <c r="A216" s="717"/>
      <c r="B216" s="702"/>
      <c r="C216" s="702"/>
    </row>
    <row r="217" spans="1:3" s="703" customFormat="1" ht="19.5" customHeight="1">
      <c r="A217" s="25"/>
      <c r="B217" s="739"/>
      <c r="C217" s="702"/>
    </row>
    <row r="218" spans="1:3" s="703" customFormat="1" ht="19.5" customHeight="1">
      <c r="A218" s="25"/>
      <c r="B218" s="741"/>
      <c r="C218" s="25"/>
    </row>
    <row r="219" spans="1:3" s="703" customFormat="1" ht="19.5" customHeight="1">
      <c r="A219" s="25"/>
      <c r="B219" s="274"/>
      <c r="C219" s="25"/>
    </row>
    <row r="220" spans="1:3" s="703" customFormat="1" ht="19.5" customHeight="1">
      <c r="A220" s="131"/>
      <c r="B220" s="274"/>
      <c r="C220" s="25"/>
    </row>
    <row r="221" spans="1:3" s="703" customFormat="1" ht="19.5" customHeight="1">
      <c r="A221" s="131"/>
      <c r="B221" s="741"/>
      <c r="C221" s="25"/>
    </row>
    <row r="222" spans="1:3" s="703" customFormat="1" ht="19.5" customHeight="1">
      <c r="A222" s="131"/>
      <c r="B222" s="741"/>
      <c r="C222" s="25"/>
    </row>
    <row r="223" spans="1:3" s="703" customFormat="1" ht="19.5" customHeight="1">
      <c r="A223" s="131"/>
      <c r="B223" s="274"/>
      <c r="C223" s="25"/>
    </row>
    <row r="224" spans="1:3" s="703" customFormat="1" ht="19.5" customHeight="1">
      <c r="A224" s="131"/>
      <c r="B224" s="274"/>
      <c r="C224" s="25"/>
    </row>
    <row r="225" spans="1:3" s="703" customFormat="1" ht="19.5" customHeight="1">
      <c r="A225" s="131"/>
      <c r="B225" s="274"/>
      <c r="C225" s="25"/>
    </row>
    <row r="226" spans="1:3" s="703" customFormat="1" ht="19.5" customHeight="1">
      <c r="A226" s="131"/>
      <c r="B226" s="274"/>
      <c r="C226" s="25"/>
    </row>
    <row r="227" spans="1:3" s="703" customFormat="1" ht="19.5" customHeight="1">
      <c r="A227" s="131"/>
      <c r="B227" s="274"/>
      <c r="C227" s="25"/>
    </row>
    <row r="228" spans="1:3" s="703" customFormat="1" ht="19.5" customHeight="1">
      <c r="A228" s="52"/>
      <c r="B228" s="52"/>
      <c r="C228" s="25"/>
    </row>
    <row r="229" spans="1:3" s="703" customFormat="1" ht="19.5" customHeight="1">
      <c r="A229" s="717"/>
      <c r="B229" s="52"/>
      <c r="C229" s="25"/>
    </row>
    <row r="230" spans="1:3" s="703" customFormat="1" ht="19.5" customHeight="1">
      <c r="A230" s="717"/>
      <c r="B230" s="742"/>
      <c r="C230" s="25"/>
    </row>
    <row r="231" spans="1:3" ht="19.5" customHeight="1">
      <c r="A231" s="131"/>
      <c r="B231" s="741"/>
      <c r="C231" s="514"/>
    </row>
    <row r="232" spans="1:3" ht="19.5" customHeight="1">
      <c r="A232" s="131"/>
      <c r="B232" s="741"/>
      <c r="C232" s="514"/>
    </row>
    <row r="233" spans="1:3" s="703" customFormat="1" ht="19.5" customHeight="1">
      <c r="A233" s="131"/>
      <c r="B233" s="742"/>
      <c r="C233" s="25"/>
    </row>
    <row r="234" spans="1:3" s="703" customFormat="1" ht="19.5" customHeight="1">
      <c r="A234" s="131"/>
      <c r="B234" s="742"/>
      <c r="C234" s="25"/>
    </row>
    <row r="235" spans="1:2" s="703" customFormat="1" ht="19.5" customHeight="1">
      <c r="A235" s="131"/>
      <c r="B235" s="743"/>
    </row>
    <row r="236" spans="1:2" s="703" customFormat="1" ht="19.5" customHeight="1">
      <c r="A236" s="131"/>
      <c r="B236" s="743"/>
    </row>
    <row r="237" spans="1:2" s="703" customFormat="1" ht="19.5" customHeight="1">
      <c r="A237" s="25"/>
      <c r="B237" s="743"/>
    </row>
    <row r="238" spans="1:2" s="703" customFormat="1" ht="19.5" customHeight="1">
      <c r="A238" s="25"/>
      <c r="B238" s="744"/>
    </row>
    <row r="239" spans="1:2" s="703" customFormat="1" ht="19.5" customHeight="1">
      <c r="A239" s="25"/>
      <c r="B239" s="743"/>
    </row>
    <row r="240" spans="1:2" s="703" customFormat="1" ht="19.5" customHeight="1">
      <c r="A240" s="25"/>
      <c r="B240" s="744"/>
    </row>
    <row r="241" spans="1:2" s="703" customFormat="1" ht="19.5" customHeight="1">
      <c r="A241" s="25"/>
      <c r="B241" s="744"/>
    </row>
    <row r="242" spans="1:2" s="703" customFormat="1" ht="19.5" customHeight="1">
      <c r="A242" s="25"/>
      <c r="B242" s="744"/>
    </row>
    <row r="243" spans="1:2" s="703" customFormat="1" ht="19.5" customHeight="1">
      <c r="A243" s="717"/>
      <c r="B243" s="702"/>
    </row>
    <row r="244" spans="1:3" s="703" customFormat="1" ht="19.5" customHeight="1">
      <c r="A244" s="131"/>
      <c r="B244" s="739"/>
      <c r="C244" s="702"/>
    </row>
    <row r="245" spans="1:3" s="703" customFormat="1" ht="19.5" customHeight="1">
      <c r="A245" s="131"/>
      <c r="B245" s="739"/>
      <c r="C245" s="702"/>
    </row>
    <row r="246" spans="1:3" s="703" customFormat="1" ht="19.5" customHeight="1">
      <c r="A246" s="131"/>
      <c r="B246" s="739"/>
      <c r="C246" s="702"/>
    </row>
    <row r="247" spans="1:3" s="703" customFormat="1" ht="19.5" customHeight="1">
      <c r="A247" s="131"/>
      <c r="B247" s="739"/>
      <c r="C247" s="702"/>
    </row>
    <row r="248" spans="1:3" s="703" customFormat="1" ht="19.5" customHeight="1">
      <c r="A248" s="131"/>
      <c r="B248" s="739"/>
      <c r="C248" s="702"/>
    </row>
    <row r="249" spans="1:3" s="703" customFormat="1" ht="19.5" customHeight="1">
      <c r="A249" s="717"/>
      <c r="B249" s="739"/>
      <c r="C249" s="702"/>
    </row>
    <row r="250" spans="1:3" s="703" customFormat="1" ht="19.5" customHeight="1">
      <c r="A250" s="717"/>
      <c r="B250" s="739"/>
      <c r="C250" s="702"/>
    </row>
    <row r="251" spans="1:3" s="703" customFormat="1" ht="19.5" customHeight="1">
      <c r="A251" s="717"/>
      <c r="B251" s="739"/>
      <c r="C251" s="702"/>
    </row>
    <row r="252" s="703" customFormat="1" ht="19.5" customHeight="1">
      <c r="C252" s="702"/>
    </row>
    <row r="253" s="703" customFormat="1" ht="19.5" customHeight="1">
      <c r="C253" s="702"/>
    </row>
    <row r="254" s="703" customFormat="1" ht="19.5" customHeight="1">
      <c r="C254" s="702"/>
    </row>
    <row r="255" s="703" customFormat="1" ht="19.5" customHeight="1">
      <c r="C255" s="702"/>
    </row>
    <row r="256" spans="1:3" s="703" customFormat="1" ht="19.5" customHeight="1">
      <c r="A256" s="745"/>
      <c r="C256" s="702"/>
    </row>
    <row r="257" s="703" customFormat="1" ht="19.5" customHeight="1">
      <c r="C257" s="702"/>
    </row>
    <row r="258" s="703" customFormat="1" ht="19.5" customHeight="1">
      <c r="C258" s="702"/>
    </row>
    <row r="259" spans="2:3" s="703" customFormat="1" ht="19.5" customHeight="1">
      <c r="B259" s="702"/>
      <c r="C259" s="702"/>
    </row>
    <row r="260" spans="2:3" s="703" customFormat="1" ht="19.5" customHeight="1">
      <c r="B260" s="702"/>
      <c r="C260" s="702"/>
    </row>
    <row r="261" spans="2:3" s="703" customFormat="1" ht="19.5" customHeight="1">
      <c r="B261" s="702"/>
      <c r="C261" s="702"/>
    </row>
    <row r="262" spans="2:3" s="703" customFormat="1" ht="19.5" customHeight="1">
      <c r="B262" s="702"/>
      <c r="C262" s="702"/>
    </row>
    <row r="263" spans="2:3" s="703" customFormat="1" ht="19.5" customHeight="1">
      <c r="B263" s="702"/>
      <c r="C263" s="702"/>
    </row>
    <row r="264" spans="1:3" s="703" customFormat="1" ht="19.5" customHeight="1">
      <c r="A264" s="134"/>
      <c r="B264" s="702"/>
      <c r="C264" s="702"/>
    </row>
    <row r="265" spans="1:3" s="703" customFormat="1" ht="19.5" customHeight="1">
      <c r="A265" s="134"/>
      <c r="B265" s="702"/>
      <c r="C265" s="702"/>
    </row>
    <row r="266" spans="1:3" s="703" customFormat="1" ht="19.5" customHeight="1">
      <c r="A266" s="134"/>
      <c r="B266" s="702"/>
      <c r="C266" s="702"/>
    </row>
    <row r="267" spans="1:3" s="703" customFormat="1" ht="19.5" customHeight="1">
      <c r="A267" s="134"/>
      <c r="B267" s="702"/>
      <c r="C267" s="702"/>
    </row>
    <row r="268" spans="1:3" s="703" customFormat="1" ht="19.5" customHeight="1">
      <c r="A268" s="134"/>
      <c r="B268" s="702"/>
      <c r="C268" s="702"/>
    </row>
    <row r="269" spans="1:3" s="703" customFormat="1" ht="19.5" customHeight="1">
      <c r="A269" s="134"/>
      <c r="B269" s="702"/>
      <c r="C269" s="702"/>
    </row>
    <row r="270" spans="1:3" s="703" customFormat="1" ht="19.5" customHeight="1">
      <c r="A270" s="134"/>
      <c r="B270" s="702"/>
      <c r="C270" s="702"/>
    </row>
    <row r="271" spans="1:3" s="703" customFormat="1" ht="19.5" customHeight="1">
      <c r="A271" s="134"/>
      <c r="B271" s="702"/>
      <c r="C271" s="702"/>
    </row>
    <row r="272" spans="1:3" s="703" customFormat="1" ht="19.5" customHeight="1">
      <c r="A272" s="134"/>
      <c r="B272" s="702"/>
      <c r="C272" s="702"/>
    </row>
    <row r="273" spans="1:3" s="703" customFormat="1" ht="19.5" customHeight="1">
      <c r="A273" s="134"/>
      <c r="B273" s="702"/>
      <c r="C273" s="702"/>
    </row>
    <row r="274" spans="1:3" s="703" customFormat="1" ht="19.5" customHeight="1">
      <c r="A274" s="134"/>
      <c r="B274" s="702"/>
      <c r="C274" s="702"/>
    </row>
    <row r="275" spans="1:3" s="703" customFormat="1" ht="19.5" customHeight="1">
      <c r="A275" s="134"/>
      <c r="B275" s="702"/>
      <c r="C275" s="702"/>
    </row>
    <row r="276" spans="1:3" s="703" customFormat="1" ht="19.5" customHeight="1">
      <c r="A276" s="134"/>
      <c r="B276" s="702"/>
      <c r="C276" s="702"/>
    </row>
    <row r="277" spans="1:3" s="703" customFormat="1" ht="19.5" customHeight="1">
      <c r="A277" s="134"/>
      <c r="B277" s="702"/>
      <c r="C277" s="702"/>
    </row>
    <row r="278" spans="1:3" s="703" customFormat="1" ht="19.5" customHeight="1">
      <c r="A278" s="134"/>
      <c r="B278" s="702"/>
      <c r="C278" s="702"/>
    </row>
    <row r="279" spans="1:3" s="703" customFormat="1" ht="19.5" customHeight="1">
      <c r="A279" s="134"/>
      <c r="B279" s="702"/>
      <c r="C279" s="702"/>
    </row>
    <row r="280" spans="1:3" s="703" customFormat="1" ht="19.5" customHeight="1">
      <c r="A280" s="134"/>
      <c r="B280" s="702"/>
      <c r="C280" s="702"/>
    </row>
    <row r="281" spans="1:3" s="703" customFormat="1" ht="19.5" customHeight="1">
      <c r="A281" s="52"/>
      <c r="B281" s="702"/>
      <c r="C281" s="702"/>
    </row>
    <row r="282" spans="1:3" s="703" customFormat="1" ht="19.5" customHeight="1">
      <c r="A282" s="52"/>
      <c r="B282" s="702"/>
      <c r="C282" s="702"/>
    </row>
    <row r="283" spans="1:3" s="703" customFormat="1" ht="19.5" customHeight="1">
      <c r="A283" s="52"/>
      <c r="B283" s="702"/>
      <c r="C283" s="702"/>
    </row>
    <row r="284" spans="1:3" s="703" customFormat="1" ht="19.5" customHeight="1">
      <c r="A284" s="52"/>
      <c r="B284" s="52"/>
      <c r="C284" s="52"/>
    </row>
    <row r="285" spans="1:3" s="703" customFormat="1" ht="19.5" customHeight="1">
      <c r="A285" s="717"/>
      <c r="B285" s="52"/>
      <c r="C285" s="52"/>
    </row>
    <row r="286" spans="1:3" s="703" customFormat="1" ht="19.5" customHeight="1">
      <c r="A286" s="717"/>
      <c r="B286" s="52"/>
      <c r="C286" s="52"/>
    </row>
    <row r="287" spans="1:3" s="703" customFormat="1" ht="19.5" customHeight="1">
      <c r="A287" s="25"/>
      <c r="B287" s="52"/>
      <c r="C287" s="52"/>
    </row>
    <row r="288" spans="1:3" s="703" customFormat="1" ht="19.5" customHeight="1">
      <c r="A288" s="25"/>
      <c r="B288" s="52"/>
      <c r="C288" s="52"/>
    </row>
    <row r="289" spans="1:3" s="703" customFormat="1" ht="19.5" customHeight="1">
      <c r="A289" s="25"/>
      <c r="B289" s="52"/>
      <c r="C289" s="52"/>
    </row>
    <row r="290" spans="1:3" s="703" customFormat="1" ht="19.5" customHeight="1">
      <c r="A290" s="131"/>
      <c r="B290" s="52"/>
      <c r="C290" s="52"/>
    </row>
    <row r="291" spans="1:3" s="703" customFormat="1" ht="19.5" customHeight="1">
      <c r="A291" s="131"/>
      <c r="B291" s="52"/>
      <c r="C291" s="52"/>
    </row>
    <row r="292" spans="1:3" s="703" customFormat="1" ht="19.5" customHeight="1">
      <c r="A292" s="131"/>
      <c r="B292" s="52"/>
      <c r="C292" s="52"/>
    </row>
    <row r="293" spans="1:3" s="703" customFormat="1" ht="19.5" customHeight="1">
      <c r="A293" s="131"/>
      <c r="B293" s="52"/>
      <c r="C293" s="52"/>
    </row>
    <row r="294" spans="1:3" s="703" customFormat="1" ht="19.5" customHeight="1">
      <c r="A294" s="746"/>
      <c r="B294" s="52"/>
      <c r="C294" s="52"/>
    </row>
    <row r="295" spans="1:3" s="703" customFormat="1" ht="19.5" customHeight="1">
      <c r="A295" s="746"/>
      <c r="B295" s="52"/>
      <c r="C295" s="52"/>
    </row>
    <row r="296" spans="1:3" s="703" customFormat="1" ht="19.5" customHeight="1">
      <c r="A296" s="52"/>
      <c r="B296" s="52"/>
      <c r="C296" s="52"/>
    </row>
    <row r="297" spans="1:3" s="703" customFormat="1" ht="19.5" customHeight="1">
      <c r="A297" s="52"/>
      <c r="B297" s="52"/>
      <c r="C297" s="52"/>
    </row>
    <row r="298" spans="1:3" s="703" customFormat="1" ht="19.5" customHeight="1">
      <c r="A298" s="52"/>
      <c r="B298" s="52"/>
      <c r="C298" s="52"/>
    </row>
    <row r="299" spans="1:3" s="703" customFormat="1" ht="19.5" customHeight="1">
      <c r="A299" s="52"/>
      <c r="B299" s="52"/>
      <c r="C299" s="52"/>
    </row>
    <row r="300" spans="1:3" s="703" customFormat="1" ht="19.5" customHeight="1">
      <c r="A300" s="52"/>
      <c r="B300" s="52"/>
      <c r="C300" s="52"/>
    </row>
    <row r="301" spans="1:3" s="703" customFormat="1" ht="19.5" customHeight="1">
      <c r="A301" s="52"/>
      <c r="B301" s="52"/>
      <c r="C301" s="52"/>
    </row>
    <row r="302" spans="1:3" s="703" customFormat="1" ht="19.5" customHeight="1">
      <c r="A302" s="52"/>
      <c r="B302" s="52"/>
      <c r="C302" s="52"/>
    </row>
    <row r="303" spans="1:3" s="703" customFormat="1" ht="19.5" customHeight="1">
      <c r="A303" s="52"/>
      <c r="B303" s="52"/>
      <c r="C303" s="52"/>
    </row>
    <row r="304" spans="1:3" s="703" customFormat="1" ht="19.5" customHeight="1">
      <c r="A304" s="52"/>
      <c r="B304" s="52"/>
      <c r="C304" s="52"/>
    </row>
    <row r="305" spans="1:3" s="703" customFormat="1" ht="19.5" customHeight="1">
      <c r="A305" s="52"/>
      <c r="B305" s="52"/>
      <c r="C305" s="52"/>
    </row>
    <row r="306" spans="1:3" s="703" customFormat="1" ht="19.5" customHeight="1">
      <c r="A306" s="52"/>
      <c r="B306" s="52"/>
      <c r="C306" s="52"/>
    </row>
    <row r="307" spans="1:3" s="703" customFormat="1" ht="19.5" customHeight="1">
      <c r="A307" s="52"/>
      <c r="B307" s="52"/>
      <c r="C307" s="52"/>
    </row>
    <row r="308" spans="1:3" s="703" customFormat="1" ht="19.5" customHeight="1">
      <c r="A308" s="52"/>
      <c r="B308" s="733"/>
      <c r="C308" s="25"/>
    </row>
    <row r="309" spans="1:3" s="703" customFormat="1" ht="19.5" customHeight="1">
      <c r="A309" s="52"/>
      <c r="B309" s="733"/>
      <c r="C309" s="25"/>
    </row>
    <row r="310" spans="1:3" s="703" customFormat="1" ht="19.5" customHeight="1">
      <c r="A310" s="52"/>
      <c r="B310" s="52"/>
      <c r="C310" s="52"/>
    </row>
    <row r="311" spans="1:3" s="703" customFormat="1" ht="19.5" customHeight="1">
      <c r="A311" s="747"/>
      <c r="B311" s="52"/>
      <c r="C311" s="52"/>
    </row>
    <row r="312" spans="1:3" s="703" customFormat="1" ht="19.5" customHeight="1">
      <c r="A312" s="717"/>
      <c r="B312" s="52"/>
      <c r="C312" s="52"/>
    </row>
    <row r="313" spans="1:3" s="703" customFormat="1" ht="19.5" customHeight="1">
      <c r="A313" s="25"/>
      <c r="B313" s="274"/>
      <c r="C313" s="25"/>
    </row>
    <row r="314" spans="1:3" s="703" customFormat="1" ht="19.5" customHeight="1">
      <c r="A314" s="25"/>
      <c r="B314" s="274"/>
      <c r="C314" s="25"/>
    </row>
    <row r="315" spans="1:3" s="703" customFormat="1" ht="19.5" customHeight="1">
      <c r="A315" s="25"/>
      <c r="B315" s="274"/>
      <c r="C315" s="25"/>
    </row>
    <row r="316" spans="1:3" s="703" customFormat="1" ht="19.5" customHeight="1">
      <c r="A316" s="131"/>
      <c r="B316" s="274"/>
      <c r="C316" s="25"/>
    </row>
    <row r="317" spans="1:3" s="703" customFormat="1" ht="19.5" customHeight="1">
      <c r="A317" s="131"/>
      <c r="B317" s="25"/>
      <c r="C317" s="25"/>
    </row>
    <row r="318" spans="1:3" s="703" customFormat="1" ht="19.5" customHeight="1">
      <c r="A318" s="131"/>
      <c r="B318" s="25"/>
      <c r="C318" s="25"/>
    </row>
    <row r="319" spans="1:3" s="703" customFormat="1" ht="19.5" customHeight="1">
      <c r="A319" s="131"/>
      <c r="B319" s="52"/>
      <c r="C319" s="52"/>
    </row>
    <row r="320" spans="1:3" s="703" customFormat="1" ht="19.5" customHeight="1">
      <c r="A320" s="131"/>
      <c r="B320" s="52"/>
      <c r="C320" s="52"/>
    </row>
    <row r="321" spans="1:3" ht="19.5" customHeight="1">
      <c r="A321" s="131"/>
      <c r="B321" s="52"/>
      <c r="C321" s="52"/>
    </row>
    <row r="322" spans="1:3" ht="19.5" customHeight="1">
      <c r="A322" s="25"/>
      <c r="B322" s="52"/>
      <c r="C322" s="52"/>
    </row>
    <row r="323" spans="1:3" ht="19.5" customHeight="1">
      <c r="A323" s="25"/>
      <c r="B323" s="52"/>
      <c r="C323" s="52"/>
    </row>
    <row r="324" spans="1:3" ht="19.5" customHeight="1">
      <c r="A324" s="25"/>
      <c r="B324" s="52"/>
      <c r="C324" s="52"/>
    </row>
    <row r="325" spans="1:3" ht="19.5" customHeight="1">
      <c r="A325" s="25"/>
      <c r="B325" s="52"/>
      <c r="C325" s="52"/>
    </row>
    <row r="326" spans="1:3" ht="19.5" customHeight="1">
      <c r="A326" s="25"/>
      <c r="B326" s="52"/>
      <c r="C326" s="52"/>
    </row>
    <row r="327" spans="1:3" ht="19.5" customHeight="1">
      <c r="A327" s="25"/>
      <c r="B327" s="52"/>
      <c r="C327" s="52"/>
    </row>
    <row r="328" spans="1:3" ht="19.5" customHeight="1">
      <c r="A328" s="52"/>
      <c r="B328" s="52"/>
      <c r="C328" s="52"/>
    </row>
    <row r="329" spans="1:3" ht="19.5" customHeight="1">
      <c r="A329" s="52"/>
      <c r="B329" s="52"/>
      <c r="C329" s="52"/>
    </row>
    <row r="330" spans="1:3" ht="19.5" customHeight="1">
      <c r="A330" s="52"/>
      <c r="B330" s="52"/>
      <c r="C330" s="52"/>
    </row>
    <row r="331" spans="1:3" ht="19.5" customHeight="1">
      <c r="A331" s="52"/>
      <c r="B331" s="52"/>
      <c r="C331" s="52"/>
    </row>
    <row r="332" spans="1:3" ht="19.5" customHeight="1">
      <c r="A332" s="52"/>
      <c r="B332" s="52"/>
      <c r="C332" s="52"/>
    </row>
    <row r="333" spans="1:3" ht="19.5" customHeight="1">
      <c r="A333" s="52"/>
      <c r="B333" s="52"/>
      <c r="C333" s="52"/>
    </row>
    <row r="334" spans="1:3" ht="19.5" customHeight="1">
      <c r="A334" s="52"/>
      <c r="B334" s="25"/>
      <c r="C334" s="52"/>
    </row>
    <row r="335" spans="1:3" ht="19.5" customHeight="1">
      <c r="A335" s="52"/>
      <c r="B335" s="25"/>
      <c r="C335" s="25"/>
    </row>
    <row r="336" spans="1:3" ht="19.5" customHeight="1">
      <c r="A336" s="52"/>
      <c r="B336" s="52"/>
      <c r="C336" s="25"/>
    </row>
    <row r="337" spans="1:3" ht="19.5" customHeight="1">
      <c r="A337" s="52"/>
      <c r="B337" s="52"/>
      <c r="C337" s="52"/>
    </row>
    <row r="338" spans="1:3" ht="19.5" customHeight="1">
      <c r="A338" s="52"/>
      <c r="B338" s="52"/>
      <c r="C338" s="52"/>
    </row>
    <row r="339" spans="1:3" ht="19.5" customHeight="1">
      <c r="A339" s="52"/>
      <c r="B339" s="25"/>
      <c r="C339" s="25"/>
    </row>
    <row r="340" spans="1:3" ht="19.5" customHeight="1">
      <c r="A340" s="52"/>
      <c r="B340" s="25"/>
      <c r="C340" s="25"/>
    </row>
    <row r="341" spans="1:3" ht="19.5" customHeight="1">
      <c r="A341" s="52"/>
      <c r="B341" s="274"/>
      <c r="C341" s="274"/>
    </row>
    <row r="342" spans="1:3" ht="19.5" customHeight="1">
      <c r="A342" s="52"/>
      <c r="B342" s="274"/>
      <c r="C342" s="274"/>
    </row>
    <row r="343" spans="1:3" ht="19.5" customHeight="1">
      <c r="A343" s="52"/>
      <c r="B343" s="25"/>
      <c r="C343" s="25"/>
    </row>
    <row r="344" spans="1:3" ht="19.5" customHeight="1">
      <c r="A344" s="52"/>
      <c r="B344" s="25"/>
      <c r="C344" s="25"/>
    </row>
    <row r="345" spans="1:3" ht="19.5" customHeight="1">
      <c r="A345" s="52"/>
      <c r="B345" s="274"/>
      <c r="C345" s="25"/>
    </row>
    <row r="346" spans="1:3" ht="19.5" customHeight="1">
      <c r="A346" s="52"/>
      <c r="B346" s="274"/>
      <c r="C346" s="25"/>
    </row>
    <row r="347" spans="1:3" ht="19.5" customHeight="1">
      <c r="A347" s="52"/>
      <c r="B347" s="274"/>
      <c r="C347" s="25"/>
    </row>
    <row r="348" spans="1:3" ht="19.5" customHeight="1">
      <c r="A348" s="52"/>
      <c r="B348" s="274"/>
      <c r="C348" s="274"/>
    </row>
    <row r="349" spans="1:3" ht="19.5" customHeight="1">
      <c r="A349" s="52"/>
      <c r="B349" s="274"/>
      <c r="C349" s="274"/>
    </row>
    <row r="350" spans="1:3" ht="19.5" customHeight="1">
      <c r="A350" s="52"/>
      <c r="B350" s="274"/>
      <c r="C350" s="274"/>
    </row>
    <row r="351" spans="1:3" ht="19.5" customHeight="1">
      <c r="A351" s="52"/>
      <c r="B351" s="52"/>
      <c r="C351" s="52"/>
    </row>
    <row r="352" spans="1:3" ht="19.5" customHeight="1">
      <c r="A352" s="131"/>
      <c r="B352" s="52"/>
      <c r="C352" s="52"/>
    </row>
    <row r="353" spans="1:3" ht="19.5" customHeight="1">
      <c r="A353" s="131"/>
      <c r="B353" s="52"/>
      <c r="C353" s="52"/>
    </row>
    <row r="354" spans="1:3" ht="19.5" customHeight="1">
      <c r="A354" s="131"/>
      <c r="B354" s="52"/>
      <c r="C354" s="52"/>
    </row>
    <row r="355" spans="1:3" ht="19.5" customHeight="1">
      <c r="A355" s="131"/>
      <c r="B355" s="52"/>
      <c r="C355" s="52"/>
    </row>
    <row r="356" spans="1:3" ht="19.5" customHeight="1">
      <c r="A356" s="131"/>
      <c r="B356" s="52"/>
      <c r="C356" s="52"/>
    </row>
    <row r="357" spans="1:3" ht="19.5" customHeight="1">
      <c r="A357" s="131"/>
      <c r="B357" s="52"/>
      <c r="C357" s="52"/>
    </row>
    <row r="358" spans="1:3" ht="19.5" customHeight="1">
      <c r="A358" s="717"/>
      <c r="B358" s="52"/>
      <c r="C358" s="52"/>
    </row>
    <row r="359" spans="1:3" ht="19.5" customHeight="1">
      <c r="A359" s="717"/>
      <c r="B359" s="52"/>
      <c r="C359" s="52"/>
    </row>
    <row r="360" spans="1:3" ht="19.5" customHeight="1">
      <c r="A360" s="717"/>
      <c r="B360" s="52"/>
      <c r="C360" s="52"/>
    </row>
    <row r="361" spans="1:3" ht="19.5" customHeight="1">
      <c r="A361" s="52"/>
      <c r="B361" s="52"/>
      <c r="C361" s="52"/>
    </row>
    <row r="362" spans="1:3" ht="19.5" customHeight="1">
      <c r="A362" s="52"/>
      <c r="B362" s="52"/>
      <c r="C362" s="52"/>
    </row>
    <row r="363" spans="1:3" ht="19.5" customHeight="1">
      <c r="A363" s="25"/>
      <c r="B363" s="52"/>
      <c r="C363" s="52"/>
    </row>
    <row r="364" spans="1:3" ht="19.5" customHeight="1">
      <c r="A364" s="25"/>
      <c r="B364" s="52"/>
      <c r="C364" s="52"/>
    </row>
    <row r="365" spans="1:3" ht="19.5" customHeight="1">
      <c r="A365" s="25"/>
      <c r="B365" s="52"/>
      <c r="C365" s="52"/>
    </row>
    <row r="366" spans="1:3" ht="19.5" customHeight="1">
      <c r="A366" s="25"/>
      <c r="B366" s="52"/>
      <c r="C366" s="52"/>
    </row>
    <row r="367" spans="1:3" ht="19.5" customHeight="1">
      <c r="A367" s="25"/>
      <c r="B367" s="52"/>
      <c r="C367" s="52"/>
    </row>
    <row r="368" spans="1:3" ht="19.5" customHeight="1">
      <c r="A368" s="25"/>
      <c r="B368" s="52"/>
      <c r="C368" s="52"/>
    </row>
    <row r="369" spans="1:3" ht="19.5" customHeight="1">
      <c r="A369" s="25"/>
      <c r="B369" s="52"/>
      <c r="C369" s="52"/>
    </row>
    <row r="370" spans="1:3" ht="19.5" customHeight="1">
      <c r="A370" s="25"/>
      <c r="B370" s="52"/>
      <c r="C370" s="52"/>
    </row>
    <row r="371" spans="1:3" ht="19.5" customHeight="1">
      <c r="A371" s="25"/>
      <c r="B371" s="52"/>
      <c r="C371" s="52"/>
    </row>
    <row r="372" spans="1:3" ht="19.5" customHeight="1">
      <c r="A372" s="25"/>
      <c r="B372" s="52"/>
      <c r="C372" s="52"/>
    </row>
    <row r="373" spans="1:3" ht="19.5" customHeight="1">
      <c r="A373" s="25"/>
      <c r="B373" s="52"/>
      <c r="C373" s="52"/>
    </row>
    <row r="374" spans="1:3" ht="19.5" customHeight="1">
      <c r="A374" s="25"/>
      <c r="B374" s="52"/>
      <c r="C374" s="52"/>
    </row>
    <row r="375" spans="1:3" ht="19.5" customHeight="1">
      <c r="A375" s="25"/>
      <c r="B375" s="274"/>
      <c r="C375" s="274"/>
    </row>
    <row r="376" spans="1:3" ht="19.5" customHeight="1">
      <c r="A376" s="25"/>
      <c r="B376" s="274"/>
      <c r="C376" s="25"/>
    </row>
    <row r="377" spans="1:3" ht="19.5" customHeight="1">
      <c r="A377" s="25"/>
      <c r="B377" s="274"/>
      <c r="C377" s="274"/>
    </row>
    <row r="378" spans="1:3" ht="19.5" customHeight="1">
      <c r="A378" s="25"/>
      <c r="B378" s="274"/>
      <c r="C378" s="274"/>
    </row>
    <row r="379" spans="1:3" ht="19.5" customHeight="1">
      <c r="A379" s="25"/>
      <c r="B379" s="274"/>
      <c r="C379" s="274"/>
    </row>
    <row r="380" spans="1:3" ht="19.5" customHeight="1">
      <c r="A380" s="25"/>
      <c r="B380" s="274"/>
      <c r="C380" s="274"/>
    </row>
    <row r="381" spans="1:3" ht="19.5" customHeight="1">
      <c r="A381" s="25"/>
      <c r="B381" s="274"/>
      <c r="C381" s="25"/>
    </row>
    <row r="382" spans="1:3" ht="19.5" customHeight="1">
      <c r="A382" s="25"/>
      <c r="B382" s="274"/>
      <c r="C382" s="25"/>
    </row>
    <row r="383" spans="1:3" ht="19.5" customHeight="1">
      <c r="A383" s="25"/>
      <c r="B383" s="274"/>
      <c r="C383" s="274"/>
    </row>
    <row r="384" spans="1:3" ht="19.5" customHeight="1">
      <c r="A384" s="25"/>
      <c r="B384" s="52"/>
      <c r="C384" s="52"/>
    </row>
    <row r="385" spans="1:3" ht="19.5" customHeight="1">
      <c r="A385" s="25"/>
      <c r="B385" s="52"/>
      <c r="C385" s="52"/>
    </row>
    <row r="386" spans="1:3" ht="19.5" customHeight="1">
      <c r="A386" s="25"/>
      <c r="B386" s="25"/>
      <c r="C386" s="25"/>
    </row>
    <row r="387" spans="1:3" ht="19.5" customHeight="1">
      <c r="A387" s="25"/>
      <c r="B387" s="25"/>
      <c r="C387" s="25"/>
    </row>
    <row r="388" spans="1:3" ht="19.5" customHeight="1">
      <c r="A388" s="25"/>
      <c r="B388" s="25"/>
      <c r="C388" s="25"/>
    </row>
    <row r="389" spans="1:3" ht="19.5" customHeight="1">
      <c r="A389" s="25"/>
      <c r="B389" s="25"/>
      <c r="C389" s="25"/>
    </row>
    <row r="390" spans="1:3" ht="19.5" customHeight="1">
      <c r="A390" s="25"/>
      <c r="B390" s="25"/>
      <c r="C390" s="25"/>
    </row>
    <row r="391" spans="1:3" ht="19.5" customHeight="1">
      <c r="A391" s="25"/>
      <c r="B391" s="25"/>
      <c r="C391" s="25"/>
    </row>
    <row r="392" spans="1:3" ht="19.5" customHeight="1">
      <c r="A392" s="25"/>
      <c r="B392" s="25"/>
      <c r="C392" s="25"/>
    </row>
    <row r="393" spans="1:3" ht="19.5" customHeight="1">
      <c r="A393" s="25"/>
      <c r="B393" s="25"/>
      <c r="C393" s="25"/>
    </row>
    <row r="394" spans="1:3" ht="19.5" customHeight="1">
      <c r="A394" s="25"/>
      <c r="B394" s="25"/>
      <c r="C394" s="25"/>
    </row>
    <row r="395" spans="1:3" ht="19.5" customHeight="1">
      <c r="A395" s="25"/>
      <c r="B395" s="25"/>
      <c r="C395" s="25"/>
    </row>
    <row r="396" spans="1:3" ht="19.5" customHeight="1">
      <c r="A396" s="25"/>
      <c r="B396" s="25"/>
      <c r="C396" s="25"/>
    </row>
    <row r="397" spans="1:3" ht="19.5" customHeight="1">
      <c r="A397" s="25"/>
      <c r="B397" s="25"/>
      <c r="C397" s="25"/>
    </row>
    <row r="398" spans="1:3" ht="19.5" customHeight="1">
      <c r="A398" s="25"/>
      <c r="B398" s="25"/>
      <c r="C398" s="25"/>
    </row>
    <row r="399" spans="1:3" ht="19.5" customHeight="1">
      <c r="A399" s="25"/>
      <c r="B399" s="25"/>
      <c r="C399" s="25"/>
    </row>
    <row r="400" spans="1:3" ht="19.5" customHeight="1">
      <c r="A400" s="25"/>
      <c r="B400" s="25"/>
      <c r="C400" s="25"/>
    </row>
    <row r="401" spans="1:3" ht="19.5" customHeight="1">
      <c r="A401" s="25"/>
      <c r="B401" s="25"/>
      <c r="C401" s="25"/>
    </row>
    <row r="402" spans="1:3" ht="19.5" customHeight="1">
      <c r="A402" s="25"/>
      <c r="B402" s="25"/>
      <c r="C402" s="25"/>
    </row>
    <row r="403" spans="1:3" ht="19.5" customHeight="1">
      <c r="A403" s="25"/>
      <c r="B403" s="25"/>
      <c r="C403" s="25"/>
    </row>
    <row r="404" spans="1:3" ht="19.5" customHeight="1">
      <c r="A404" s="25"/>
      <c r="B404" s="25"/>
      <c r="C404" s="25"/>
    </row>
    <row r="405" spans="1:3" ht="19.5" customHeight="1">
      <c r="A405" s="25"/>
      <c r="B405" s="25"/>
      <c r="C405" s="25"/>
    </row>
    <row r="406" spans="1:3" ht="19.5" customHeight="1">
      <c r="A406" s="25"/>
      <c r="B406" s="25"/>
      <c r="C406" s="25"/>
    </row>
    <row r="407" spans="1:3" ht="19.5" customHeight="1">
      <c r="A407" s="25"/>
      <c r="B407" s="25"/>
      <c r="C407" s="25"/>
    </row>
    <row r="408" spans="1:3" ht="19.5" customHeight="1">
      <c r="A408" s="25"/>
      <c r="B408" s="25"/>
      <c r="C408" s="25"/>
    </row>
    <row r="409" spans="1:3" ht="19.5" customHeight="1">
      <c r="A409" s="25"/>
      <c r="B409" s="25"/>
      <c r="C409" s="25"/>
    </row>
    <row r="410" spans="1:3" ht="19.5" customHeight="1">
      <c r="A410" s="25"/>
      <c r="B410" s="25"/>
      <c r="C410" s="25"/>
    </row>
    <row r="411" spans="1:3" ht="19.5" customHeight="1">
      <c r="A411" s="25"/>
      <c r="B411" s="25"/>
      <c r="C411" s="25"/>
    </row>
    <row r="412" spans="1:3" ht="19.5" customHeight="1">
      <c r="A412" s="25"/>
      <c r="B412" s="25"/>
      <c r="C412" s="25"/>
    </row>
    <row r="413" spans="1:3" ht="19.5" customHeight="1">
      <c r="A413" s="25"/>
      <c r="B413" s="25"/>
      <c r="C413" s="25"/>
    </row>
    <row r="414" spans="1:3" ht="19.5" customHeight="1">
      <c r="A414" s="25"/>
      <c r="B414" s="25"/>
      <c r="C414" s="25"/>
    </row>
    <row r="415" spans="1:3" ht="19.5" customHeight="1">
      <c r="A415" s="25"/>
      <c r="B415" s="25"/>
      <c r="C415" s="25"/>
    </row>
    <row r="416" spans="1:3" ht="19.5" customHeight="1">
      <c r="A416" s="25"/>
      <c r="B416" s="25"/>
      <c r="C416" s="25"/>
    </row>
    <row r="417" spans="1:3" ht="19.5" customHeight="1">
      <c r="A417" s="25"/>
      <c r="B417" s="25"/>
      <c r="C417" s="25"/>
    </row>
    <row r="418" spans="1:3" ht="19.5" customHeight="1">
      <c r="A418" s="25"/>
      <c r="B418" s="25"/>
      <c r="C418" s="25"/>
    </row>
    <row r="419" spans="1:3" ht="19.5" customHeight="1">
      <c r="A419" s="25"/>
      <c r="B419" s="25"/>
      <c r="C419" s="25"/>
    </row>
    <row r="420" spans="1:3" ht="19.5" customHeight="1">
      <c r="A420" s="25"/>
      <c r="B420" s="25"/>
      <c r="C420" s="25"/>
    </row>
    <row r="421" spans="1:3" ht="19.5" customHeight="1">
      <c r="A421" s="25"/>
      <c r="B421" s="25"/>
      <c r="C421" s="25"/>
    </row>
    <row r="422" spans="1:3" ht="19.5" customHeight="1">
      <c r="A422" s="25"/>
      <c r="B422" s="25"/>
      <c r="C422" s="25"/>
    </row>
    <row r="423" spans="1:3" ht="19.5" customHeight="1">
      <c r="A423" s="25"/>
      <c r="B423" s="25"/>
      <c r="C423" s="25"/>
    </row>
    <row r="424" spans="1:3" ht="19.5" customHeight="1">
      <c r="A424" s="25"/>
      <c r="B424" s="25"/>
      <c r="C424" s="25"/>
    </row>
    <row r="425" spans="1:3" ht="19.5" customHeight="1">
      <c r="A425" s="25"/>
      <c r="B425" s="25"/>
      <c r="C425" s="25"/>
    </row>
    <row r="426" spans="1:3" ht="19.5" customHeight="1">
      <c r="A426" s="25"/>
      <c r="B426" s="25"/>
      <c r="C426" s="25"/>
    </row>
    <row r="427" spans="1:3" ht="19.5" customHeight="1">
      <c r="A427" s="25"/>
      <c r="B427" s="25"/>
      <c r="C427" s="25"/>
    </row>
    <row r="428" spans="1:3" ht="19.5" customHeight="1">
      <c r="A428" s="25"/>
      <c r="B428" s="25"/>
      <c r="C428" s="25"/>
    </row>
    <row r="429" spans="1:3" ht="19.5" customHeight="1">
      <c r="A429" s="25"/>
      <c r="B429" s="25"/>
      <c r="C429" s="25"/>
    </row>
    <row r="430" spans="1:3" ht="19.5" customHeight="1">
      <c r="A430" s="25"/>
      <c r="B430" s="25"/>
      <c r="C430" s="25"/>
    </row>
    <row r="431" spans="1:3" ht="19.5" customHeight="1">
      <c r="A431" s="25"/>
      <c r="B431" s="25"/>
      <c r="C431" s="25"/>
    </row>
    <row r="432" spans="1:3" ht="19.5" customHeight="1">
      <c r="A432" s="25"/>
      <c r="B432" s="25"/>
      <c r="C432" s="25"/>
    </row>
    <row r="433" spans="1:3" ht="19.5" customHeight="1">
      <c r="A433" s="25"/>
      <c r="B433" s="25"/>
      <c r="C433" s="25"/>
    </row>
    <row r="434" spans="1:3" ht="19.5" customHeight="1">
      <c r="A434" s="25"/>
      <c r="B434" s="25"/>
      <c r="C434" s="25"/>
    </row>
    <row r="435" spans="1:3" ht="19.5" customHeight="1">
      <c r="A435" s="25"/>
      <c r="B435" s="25"/>
      <c r="C435" s="25"/>
    </row>
    <row r="436" spans="1:3" ht="19.5" customHeight="1">
      <c r="A436" s="25"/>
      <c r="B436" s="25"/>
      <c r="C436" s="25"/>
    </row>
    <row r="437" spans="1:3" ht="19.5" customHeight="1">
      <c r="A437" s="25"/>
      <c r="B437" s="25"/>
      <c r="C437" s="25"/>
    </row>
    <row r="438" spans="1:3" ht="19.5" customHeight="1">
      <c r="A438" s="25"/>
      <c r="B438" s="25"/>
      <c r="C438" s="25"/>
    </row>
    <row r="439" spans="1:3" ht="19.5" customHeight="1">
      <c r="A439" s="25"/>
      <c r="B439" s="25"/>
      <c r="C439" s="25"/>
    </row>
    <row r="440" spans="1:3" ht="19.5" customHeight="1">
      <c r="A440" s="25"/>
      <c r="B440" s="25"/>
      <c r="C440" s="25"/>
    </row>
    <row r="441" spans="1:3" ht="19.5" customHeight="1">
      <c r="A441" s="25"/>
      <c r="B441" s="25"/>
      <c r="C441" s="25"/>
    </row>
    <row r="442" spans="1:3" ht="19.5" customHeight="1">
      <c r="A442" s="25"/>
      <c r="B442" s="25"/>
      <c r="C442" s="25"/>
    </row>
    <row r="443" spans="1:3" ht="19.5" customHeight="1">
      <c r="A443" s="25"/>
      <c r="B443" s="25"/>
      <c r="C443" s="25"/>
    </row>
    <row r="444" spans="1:3" ht="19.5" customHeight="1">
      <c r="A444" s="25"/>
      <c r="B444" s="25"/>
      <c r="C444" s="25"/>
    </row>
    <row r="445" spans="1:3" ht="19.5" customHeight="1">
      <c r="A445" s="25"/>
      <c r="B445" s="25"/>
      <c r="C445" s="25"/>
    </row>
    <row r="446" spans="1:3" ht="19.5" customHeight="1">
      <c r="A446" s="25"/>
      <c r="B446" s="25"/>
      <c r="C446" s="25"/>
    </row>
    <row r="447" spans="1:3" ht="19.5" customHeight="1">
      <c r="A447" s="25"/>
      <c r="B447" s="25"/>
      <c r="C447" s="25"/>
    </row>
    <row r="448" spans="1:3" ht="19.5" customHeight="1">
      <c r="A448" s="25"/>
      <c r="B448" s="25"/>
      <c r="C448" s="25"/>
    </row>
    <row r="449" spans="1:3" ht="19.5" customHeight="1">
      <c r="A449" s="25"/>
      <c r="B449" s="25"/>
      <c r="C449" s="25"/>
    </row>
    <row r="450" spans="1:3" ht="19.5" customHeight="1">
      <c r="A450" s="25"/>
      <c r="B450" s="25"/>
      <c r="C450" s="25"/>
    </row>
    <row r="451" spans="1:3" ht="19.5" customHeight="1">
      <c r="A451" s="25"/>
      <c r="B451" s="25"/>
      <c r="C451" s="25"/>
    </row>
    <row r="452" spans="1:3" ht="19.5" customHeight="1">
      <c r="A452" s="25"/>
      <c r="B452" s="25"/>
      <c r="C452" s="25"/>
    </row>
    <row r="453" spans="1:3" ht="19.5" customHeight="1">
      <c r="A453" s="25"/>
      <c r="B453" s="25"/>
      <c r="C453" s="25"/>
    </row>
    <row r="454" spans="1:3" ht="19.5" customHeight="1">
      <c r="A454" s="25"/>
      <c r="B454" s="25"/>
      <c r="C454" s="25"/>
    </row>
    <row r="455" spans="1:3" ht="19.5" customHeight="1">
      <c r="A455" s="25"/>
      <c r="B455" s="25"/>
      <c r="C455" s="25"/>
    </row>
    <row r="456" spans="1:3" ht="19.5" customHeight="1">
      <c r="A456" s="25"/>
      <c r="B456" s="25"/>
      <c r="C456" s="25"/>
    </row>
    <row r="457" spans="1:3" ht="19.5" customHeight="1">
      <c r="A457" s="25"/>
      <c r="B457" s="25"/>
      <c r="C457" s="25"/>
    </row>
    <row r="458" spans="1:3" ht="19.5" customHeight="1">
      <c r="A458" s="25"/>
      <c r="B458" s="25"/>
      <c r="C458" s="25"/>
    </row>
    <row r="459" spans="1:3" ht="19.5" customHeight="1">
      <c r="A459" s="25"/>
      <c r="B459" s="25"/>
      <c r="C459" s="25"/>
    </row>
    <row r="460" spans="1:3" ht="19.5" customHeight="1">
      <c r="A460" s="25"/>
      <c r="B460" s="25"/>
      <c r="C460" s="25"/>
    </row>
    <row r="461" spans="1:3" ht="19.5" customHeight="1">
      <c r="A461" s="25"/>
      <c r="B461" s="25"/>
      <c r="C461" s="25"/>
    </row>
    <row r="462" spans="1:3" ht="19.5" customHeight="1">
      <c r="A462" s="25"/>
      <c r="B462" s="25"/>
      <c r="C462" s="703"/>
    </row>
    <row r="463" spans="1:3" ht="19.5" customHeight="1">
      <c r="A463" s="25"/>
      <c r="B463" s="25"/>
      <c r="C463" s="703"/>
    </row>
    <row r="464" spans="1:3" ht="19.5" customHeight="1">
      <c r="A464" s="25"/>
      <c r="B464" s="25"/>
      <c r="C464" s="703"/>
    </row>
    <row r="465" spans="1:3" ht="19.5" customHeight="1">
      <c r="A465" s="25"/>
      <c r="B465" s="25"/>
      <c r="C465" s="703"/>
    </row>
    <row r="466" spans="1:3" ht="19.5" customHeight="1">
      <c r="A466" s="25"/>
      <c r="B466" s="25"/>
      <c r="C466" s="703"/>
    </row>
    <row r="467" spans="1:3" ht="19.5" customHeight="1">
      <c r="A467" s="25"/>
      <c r="B467" s="25"/>
      <c r="C467" s="703"/>
    </row>
    <row r="468" spans="1:3" ht="19.5" customHeight="1">
      <c r="A468" s="25"/>
      <c r="B468" s="25"/>
      <c r="C468" s="703"/>
    </row>
    <row r="469" spans="1:3" ht="19.5" customHeight="1">
      <c r="A469" s="25"/>
      <c r="B469" s="25"/>
      <c r="C469" s="703"/>
    </row>
    <row r="470" spans="1:3" ht="19.5" customHeight="1">
      <c r="A470" s="25"/>
      <c r="B470" s="25"/>
      <c r="C470" s="703"/>
    </row>
    <row r="471" spans="1:3" ht="19.5" customHeight="1">
      <c r="A471" s="25"/>
      <c r="B471" s="25"/>
      <c r="C471" s="703"/>
    </row>
    <row r="472" spans="1:3" ht="19.5" customHeight="1">
      <c r="A472" s="25"/>
      <c r="B472" s="25"/>
      <c r="C472" s="703"/>
    </row>
    <row r="473" spans="2:3" ht="19.5" customHeight="1">
      <c r="B473" s="25"/>
      <c r="C473" s="703"/>
    </row>
    <row r="474" spans="2:3" ht="19.5" customHeight="1">
      <c r="B474" s="25"/>
      <c r="C474" s="703"/>
    </row>
    <row r="475" spans="2:3" ht="19.5" customHeight="1">
      <c r="B475" s="25"/>
      <c r="C475" s="703"/>
    </row>
    <row r="476" spans="2:3" ht="19.5" customHeight="1">
      <c r="B476" s="25"/>
      <c r="C476" s="703"/>
    </row>
    <row r="477" spans="2:3" ht="19.5" customHeight="1">
      <c r="B477" s="25"/>
      <c r="C477" s="703"/>
    </row>
    <row r="478" spans="2:3" ht="19.5" customHeight="1">
      <c r="B478" s="25"/>
      <c r="C478" s="703"/>
    </row>
    <row r="479" spans="2:3" ht="19.5" customHeight="1">
      <c r="B479" s="25"/>
      <c r="C479" s="703"/>
    </row>
    <row r="480" spans="2:3" ht="19.5" customHeight="1">
      <c r="B480" s="25"/>
      <c r="C480" s="703"/>
    </row>
    <row r="481" spans="2:3" ht="19.5" customHeight="1">
      <c r="B481" s="25"/>
      <c r="C481" s="703"/>
    </row>
    <row r="482" spans="2:3" ht="19.5" customHeight="1">
      <c r="B482" s="25"/>
      <c r="C482" s="703"/>
    </row>
    <row r="483" spans="2:3" ht="19.5" customHeight="1">
      <c r="B483" s="25"/>
      <c r="C483" s="703"/>
    </row>
    <row r="484" spans="2:3" ht="19.5" customHeight="1">
      <c r="B484" s="25"/>
      <c r="C484" s="703"/>
    </row>
    <row r="485" spans="2:3" ht="19.5" customHeight="1">
      <c r="B485" s="25"/>
      <c r="C485" s="703"/>
    </row>
    <row r="486" spans="2:3" ht="19.5" customHeight="1">
      <c r="B486" s="703"/>
      <c r="C486" s="703"/>
    </row>
    <row r="487" spans="2:3" ht="19.5" customHeight="1">
      <c r="B487" s="703"/>
      <c r="C487" s="703"/>
    </row>
    <row r="488" spans="2:3" ht="19.5" customHeight="1">
      <c r="B488" s="703"/>
      <c r="C488" s="703"/>
    </row>
    <row r="489" spans="2:3" ht="19.5" customHeight="1">
      <c r="B489" s="703"/>
      <c r="C489" s="703"/>
    </row>
    <row r="490" spans="2:3" ht="19.5" customHeight="1">
      <c r="B490" s="703"/>
      <c r="C490" s="703"/>
    </row>
    <row r="491" spans="2:3" ht="19.5" customHeight="1">
      <c r="B491" s="703"/>
      <c r="C491" s="703"/>
    </row>
    <row r="492" spans="2:3" ht="19.5" customHeight="1">
      <c r="B492" s="703"/>
      <c r="C492" s="703"/>
    </row>
    <row r="493" spans="2:3" ht="19.5" customHeight="1">
      <c r="B493" s="703"/>
      <c r="C493" s="703"/>
    </row>
    <row r="494" spans="2:3" ht="19.5" customHeight="1">
      <c r="B494" s="703"/>
      <c r="C494" s="703"/>
    </row>
    <row r="495" spans="2:3" ht="19.5" customHeight="1">
      <c r="B495" s="703"/>
      <c r="C495" s="703"/>
    </row>
  </sheetData>
  <sheetProtection/>
  <mergeCells count="47">
    <mergeCell ref="A1:D1"/>
    <mergeCell ref="A2:C2"/>
    <mergeCell ref="A3:D3"/>
    <mergeCell ref="A4:A6"/>
    <mergeCell ref="B4:B6"/>
    <mergeCell ref="C4:C6"/>
    <mergeCell ref="D4:D6"/>
    <mergeCell ref="E4:E6"/>
    <mergeCell ref="A37:A39"/>
    <mergeCell ref="B37:B39"/>
    <mergeCell ref="C37:C39"/>
    <mergeCell ref="D37:D39"/>
    <mergeCell ref="E37:E39"/>
    <mergeCell ref="E48:F48"/>
    <mergeCell ref="A87:D87"/>
    <mergeCell ref="A88:A90"/>
    <mergeCell ref="B88:B90"/>
    <mergeCell ref="C88:C90"/>
    <mergeCell ref="D88:D90"/>
    <mergeCell ref="E88:E90"/>
    <mergeCell ref="E131:E133"/>
    <mergeCell ref="A105:A107"/>
    <mergeCell ref="B105:B107"/>
    <mergeCell ref="C105:C107"/>
    <mergeCell ref="D105:D107"/>
    <mergeCell ref="E105:E107"/>
    <mergeCell ref="A114:D114"/>
    <mergeCell ref="E144:E146"/>
    <mergeCell ref="A115:A117"/>
    <mergeCell ref="B115:B117"/>
    <mergeCell ref="C115:C117"/>
    <mergeCell ref="D115:D117"/>
    <mergeCell ref="E115:E117"/>
    <mergeCell ref="A131:A133"/>
    <mergeCell ref="B131:B133"/>
    <mergeCell ref="C131:C133"/>
    <mergeCell ref="D131:D133"/>
    <mergeCell ref="A157:A159"/>
    <mergeCell ref="B157:B159"/>
    <mergeCell ref="C157:C159"/>
    <mergeCell ref="D157:D159"/>
    <mergeCell ref="E157:E159"/>
    <mergeCell ref="A143:D143"/>
    <mergeCell ref="A144:A146"/>
    <mergeCell ref="B144:B146"/>
    <mergeCell ref="C144:C146"/>
    <mergeCell ref="D144:D146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12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375" style="124" customWidth="1"/>
    <col min="2" max="2" width="44.00390625" style="0" customWidth="1"/>
    <col min="3" max="4" width="12.875" style="0" hidden="1" customWidth="1"/>
    <col min="5" max="6" width="12.125" style="0" hidden="1" customWidth="1"/>
    <col min="7" max="8" width="12.00390625" style="382" hidden="1" customWidth="1"/>
    <col min="9" max="9" width="13.00390625" style="382" hidden="1" customWidth="1"/>
    <col min="10" max="10" width="12.875" style="777" customWidth="1"/>
    <col min="11" max="13" width="12.875" style="778" customWidth="1"/>
    <col min="14" max="15" width="9.125" style="0" hidden="1" customWidth="1"/>
    <col min="16" max="16" width="16.625" style="124" customWidth="1"/>
    <col min="17" max="17" width="9.50390625" style="0" customWidth="1"/>
    <col min="18" max="18" width="10.625" style="0" customWidth="1"/>
    <col min="19" max="19" width="9.125" style="500" customWidth="1"/>
  </cols>
  <sheetData>
    <row r="1" spans="2:16" ht="20.25">
      <c r="B1" s="647" t="s">
        <v>433</v>
      </c>
      <c r="C1" s="647"/>
      <c r="D1" s="647"/>
      <c r="E1" s="647"/>
      <c r="F1" s="647"/>
      <c r="G1" s="647"/>
      <c r="H1" s="647"/>
      <c r="I1" s="647"/>
      <c r="J1" s="750"/>
      <c r="K1" s="750"/>
      <c r="L1" s="750"/>
      <c r="M1" s="750"/>
      <c r="N1" s="647"/>
      <c r="O1" s="647"/>
      <c r="P1" s="648"/>
    </row>
    <row r="2" spans="2:18" ht="20.25">
      <c r="B2" s="873" t="s">
        <v>6</v>
      </c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R2" t="s">
        <v>173</v>
      </c>
    </row>
    <row r="3" spans="1:19" s="10" customFormat="1" ht="5.25" customHeight="1">
      <c r="A3" s="347"/>
      <c r="B3" s="8"/>
      <c r="C3" s="9"/>
      <c r="D3" s="9"/>
      <c r="E3" s="9"/>
      <c r="F3" s="9"/>
      <c r="G3" s="348"/>
      <c r="H3" s="348"/>
      <c r="I3" s="348"/>
      <c r="J3" s="751"/>
      <c r="K3" s="752"/>
      <c r="L3" s="753"/>
      <c r="M3" s="752"/>
      <c r="N3" s="1"/>
      <c r="O3" s="41"/>
      <c r="P3" s="347"/>
      <c r="S3" s="513"/>
    </row>
    <row r="4" spans="1:23" s="10" customFormat="1" ht="11.25" customHeight="1" thickBot="1">
      <c r="A4" s="347"/>
      <c r="B4" s="8"/>
      <c r="C4" s="9"/>
      <c r="D4" s="9"/>
      <c r="E4" s="9"/>
      <c r="F4" s="9"/>
      <c r="G4" s="348"/>
      <c r="H4" s="348"/>
      <c r="I4" s="348"/>
      <c r="J4" s="751"/>
      <c r="K4" s="752"/>
      <c r="L4" s="753"/>
      <c r="M4" s="752"/>
      <c r="N4" s="1"/>
      <c r="O4" s="41"/>
      <c r="P4" s="347"/>
      <c r="Q4" s="131"/>
      <c r="R4" s="131"/>
      <c r="S4" s="502"/>
      <c r="T4" s="29"/>
      <c r="U4" s="29"/>
      <c r="V4" s="29"/>
      <c r="W4" s="29"/>
    </row>
    <row r="5" spans="2:23" ht="27.75">
      <c r="B5" s="89" t="s">
        <v>7</v>
      </c>
      <c r="C5" s="93" t="s">
        <v>299</v>
      </c>
      <c r="D5" s="350" t="s">
        <v>137</v>
      </c>
      <c r="E5" s="93" t="s">
        <v>299</v>
      </c>
      <c r="F5" s="350" t="s">
        <v>137</v>
      </c>
      <c r="G5" s="93" t="s">
        <v>299</v>
      </c>
      <c r="H5" s="350" t="s">
        <v>338</v>
      </c>
      <c r="I5" s="350" t="s">
        <v>338</v>
      </c>
      <c r="J5" s="749" t="s">
        <v>411</v>
      </c>
      <c r="K5" s="749" t="s">
        <v>412</v>
      </c>
      <c r="L5" s="794" t="s">
        <v>414</v>
      </c>
      <c r="M5" s="181" t="s">
        <v>415</v>
      </c>
      <c r="N5" s="416"/>
      <c r="O5" s="417"/>
      <c r="P5" s="351" t="s">
        <v>136</v>
      </c>
      <c r="Q5" s="131"/>
      <c r="R5" s="25"/>
      <c r="S5" s="57"/>
      <c r="T5" s="29"/>
      <c r="U5" s="29"/>
      <c r="V5" s="29"/>
      <c r="W5" s="29"/>
    </row>
    <row r="6" spans="2:23" ht="15.75" thickBot="1">
      <c r="B6" s="369"/>
      <c r="C6" s="539">
        <v>2015</v>
      </c>
      <c r="D6" s="353">
        <v>2015</v>
      </c>
      <c r="E6" s="540">
        <v>2016</v>
      </c>
      <c r="F6" s="540">
        <v>2016</v>
      </c>
      <c r="G6" s="353">
        <v>2017</v>
      </c>
      <c r="H6" s="418" t="s">
        <v>339</v>
      </c>
      <c r="I6" s="418" t="s">
        <v>359</v>
      </c>
      <c r="J6" s="395" t="s">
        <v>300</v>
      </c>
      <c r="K6" s="395" t="s">
        <v>300</v>
      </c>
      <c r="L6" s="863">
        <v>43191</v>
      </c>
      <c r="M6" s="182"/>
      <c r="N6" s="420"/>
      <c r="O6" s="421"/>
      <c r="P6" s="355"/>
      <c r="Q6" s="29"/>
      <c r="R6" s="29"/>
      <c r="S6" s="134"/>
      <c r="T6" s="29"/>
      <c r="U6" s="29"/>
      <c r="V6" s="29"/>
      <c r="W6" s="29"/>
    </row>
    <row r="7" spans="1:23" s="2" customFormat="1" ht="12.75" customHeight="1">
      <c r="A7" s="124"/>
      <c r="B7" s="532" t="s">
        <v>307</v>
      </c>
      <c r="C7" s="426">
        <v>1200000</v>
      </c>
      <c r="D7" s="411">
        <v>180273</v>
      </c>
      <c r="E7" s="410">
        <v>203000</v>
      </c>
      <c r="F7" s="410">
        <v>182957</v>
      </c>
      <c r="G7" s="411">
        <v>200000</v>
      </c>
      <c r="H7" s="411">
        <v>79385</v>
      </c>
      <c r="I7" s="411">
        <v>94379</v>
      </c>
      <c r="J7" s="754">
        <v>204000</v>
      </c>
      <c r="K7" s="754">
        <v>204000</v>
      </c>
      <c r="L7" s="754">
        <v>66775</v>
      </c>
      <c r="M7" s="800">
        <f>L7/K7</f>
        <v>0.327328431372549</v>
      </c>
      <c r="N7" s="65"/>
      <c r="O7" s="69"/>
      <c r="P7" s="633"/>
      <c r="Q7" s="57"/>
      <c r="R7" s="57"/>
      <c r="S7" s="57"/>
      <c r="T7" s="70"/>
      <c r="U7" s="70"/>
      <c r="V7" s="70"/>
      <c r="W7" s="70"/>
    </row>
    <row r="8" spans="1:23" s="2" customFormat="1" ht="12.75" customHeight="1">
      <c r="A8" s="124"/>
      <c r="B8" s="533" t="s">
        <v>305</v>
      </c>
      <c r="C8" s="427"/>
      <c r="D8" s="398">
        <v>108606</v>
      </c>
      <c r="E8" s="397">
        <v>77000</v>
      </c>
      <c r="F8" s="397">
        <v>70712</v>
      </c>
      <c r="G8" s="398">
        <v>90000</v>
      </c>
      <c r="H8" s="398">
        <v>34564</v>
      </c>
      <c r="I8" s="398">
        <v>45710</v>
      </c>
      <c r="J8" s="755">
        <v>91800</v>
      </c>
      <c r="K8" s="755">
        <v>91800</v>
      </c>
      <c r="L8" s="755">
        <v>25800</v>
      </c>
      <c r="M8" s="801">
        <f>L8/K8</f>
        <v>0.28104575163398693</v>
      </c>
      <c r="N8" s="65"/>
      <c r="O8" s="69"/>
      <c r="P8" s="634"/>
      <c r="Q8" s="57"/>
      <c r="R8" s="57"/>
      <c r="S8" s="57"/>
      <c r="T8" s="70"/>
      <c r="U8" s="70"/>
      <c r="V8" s="70"/>
      <c r="W8" s="70"/>
    </row>
    <row r="9" spans="1:23" s="2" customFormat="1" ht="12.75" customHeight="1">
      <c r="A9" s="124"/>
      <c r="B9" s="533" t="s">
        <v>306</v>
      </c>
      <c r="C9" s="428"/>
      <c r="D9" s="423">
        <v>850526</v>
      </c>
      <c r="E9" s="422">
        <v>920000</v>
      </c>
      <c r="F9" s="422">
        <v>958122</v>
      </c>
      <c r="G9" s="423">
        <v>1000000</v>
      </c>
      <c r="H9" s="423">
        <v>631118</v>
      </c>
      <c r="I9" s="423">
        <v>638962</v>
      </c>
      <c r="J9" s="756">
        <v>1020000</v>
      </c>
      <c r="K9" s="756">
        <v>1020000</v>
      </c>
      <c r="L9" s="756">
        <v>600996</v>
      </c>
      <c r="M9" s="802">
        <f aca="true" t="shared" si="0" ref="M9:M60">L9/K9</f>
        <v>0.5892117647058823</v>
      </c>
      <c r="N9" s="803"/>
      <c r="O9" s="804"/>
      <c r="P9" s="805"/>
      <c r="Q9" s="57"/>
      <c r="R9" s="57"/>
      <c r="S9" s="57"/>
      <c r="T9" s="70"/>
      <c r="U9" s="70"/>
      <c r="V9" s="70"/>
      <c r="W9" s="70"/>
    </row>
    <row r="10" spans="1:23" s="2" customFormat="1" ht="12.75" customHeight="1">
      <c r="A10" s="124"/>
      <c r="B10" s="534" t="s">
        <v>1</v>
      </c>
      <c r="C10" s="426">
        <v>50000</v>
      </c>
      <c r="D10" s="411">
        <v>7811</v>
      </c>
      <c r="E10" s="410">
        <f>C10</f>
        <v>50000</v>
      </c>
      <c r="F10" s="410">
        <v>12631</v>
      </c>
      <c r="G10" s="411">
        <v>50000</v>
      </c>
      <c r="H10" s="411">
        <v>25991</v>
      </c>
      <c r="I10" s="412">
        <v>25991</v>
      </c>
      <c r="J10" s="754">
        <v>50000</v>
      </c>
      <c r="K10" s="754">
        <v>50000</v>
      </c>
      <c r="L10" s="754">
        <v>16574</v>
      </c>
      <c r="M10" s="800">
        <f t="shared" si="0"/>
        <v>0.33148</v>
      </c>
      <c r="N10" s="65"/>
      <c r="O10" s="69"/>
      <c r="P10" s="414"/>
      <c r="Q10" s="57"/>
      <c r="R10" s="57"/>
      <c r="S10" s="57"/>
      <c r="T10" s="70"/>
      <c r="U10" s="70"/>
      <c r="V10" s="70"/>
      <c r="W10" s="70"/>
    </row>
    <row r="11" spans="1:23" s="2" customFormat="1" ht="12.75" customHeight="1">
      <c r="A11" s="124"/>
      <c r="B11" s="527" t="s">
        <v>8</v>
      </c>
      <c r="C11" s="427">
        <v>395000</v>
      </c>
      <c r="D11" s="398">
        <v>357616</v>
      </c>
      <c r="E11" s="397">
        <f>C11</f>
        <v>395000</v>
      </c>
      <c r="F11" s="397">
        <v>443970</v>
      </c>
      <c r="G11" s="398">
        <v>403000</v>
      </c>
      <c r="H11" s="398">
        <v>84691</v>
      </c>
      <c r="I11" s="399">
        <v>107724</v>
      </c>
      <c r="J11" s="757">
        <v>410000</v>
      </c>
      <c r="K11" s="757">
        <v>410000</v>
      </c>
      <c r="L11" s="757">
        <v>219222</v>
      </c>
      <c r="M11" s="801">
        <f t="shared" si="0"/>
        <v>0.5346878048780488</v>
      </c>
      <c r="N11" s="65"/>
      <c r="O11" s="69"/>
      <c r="P11" s="357"/>
      <c r="Q11" s="57"/>
      <c r="R11" s="57"/>
      <c r="S11" s="57"/>
      <c r="T11" s="70"/>
      <c r="U11" s="70"/>
      <c r="V11" s="70"/>
      <c r="W11" s="70"/>
    </row>
    <row r="12" spans="1:23" s="2" customFormat="1" ht="12.75" customHeight="1">
      <c r="A12" s="124"/>
      <c r="B12" s="527" t="s">
        <v>18</v>
      </c>
      <c r="C12" s="427">
        <v>3300000</v>
      </c>
      <c r="D12" s="398">
        <f>3456317-D24</f>
        <v>3419317</v>
      </c>
      <c r="E12" s="397">
        <v>3074132</v>
      </c>
      <c r="F12" s="397">
        <v>2755358</v>
      </c>
      <c r="G12" s="398">
        <v>1870000</v>
      </c>
      <c r="H12" s="398">
        <v>1242344</v>
      </c>
      <c r="I12" s="399">
        <v>1381095</v>
      </c>
      <c r="J12" s="757">
        <v>1907000</v>
      </c>
      <c r="K12" s="757">
        <v>1907000</v>
      </c>
      <c r="L12" s="757">
        <f>1555735-L16-L22-L23-L25-L26-L27-L29-L30-L31-L33-L36-L37-L39-L38-L40-L42-L44-L45-L49-L50-L57-L58</f>
        <v>1151573</v>
      </c>
      <c r="M12" s="801">
        <f t="shared" si="0"/>
        <v>0.6038662821185108</v>
      </c>
      <c r="N12" s="65"/>
      <c r="O12" s="69"/>
      <c r="P12" s="357"/>
      <c r="Q12" s="57"/>
      <c r="R12" s="57"/>
      <c r="S12" s="57"/>
      <c r="T12" s="70"/>
      <c r="U12" s="70"/>
      <c r="V12" s="70"/>
      <c r="W12" s="70"/>
    </row>
    <row r="13" spans="1:23" s="2" customFormat="1" ht="12.75" customHeight="1">
      <c r="A13" s="124"/>
      <c r="B13" s="527" t="s">
        <v>9</v>
      </c>
      <c r="C13" s="427">
        <v>230000</v>
      </c>
      <c r="D13" s="398">
        <v>318</v>
      </c>
      <c r="E13" s="397">
        <f>C13</f>
        <v>230000</v>
      </c>
      <c r="F13" s="397">
        <v>383291</v>
      </c>
      <c r="G13" s="398">
        <v>1040000</v>
      </c>
      <c r="H13" s="398">
        <v>433287</v>
      </c>
      <c r="I13" s="399">
        <v>568683</v>
      </c>
      <c r="J13" s="757">
        <v>1190000</v>
      </c>
      <c r="K13" s="757">
        <v>1190000</v>
      </c>
      <c r="L13" s="757">
        <v>311366</v>
      </c>
      <c r="M13" s="801">
        <f t="shared" si="0"/>
        <v>0.26165210084033613</v>
      </c>
      <c r="N13" s="65"/>
      <c r="O13" s="69"/>
      <c r="P13" s="357"/>
      <c r="Q13" s="57"/>
      <c r="R13" s="57"/>
      <c r="S13" s="57"/>
      <c r="T13" s="70"/>
      <c r="U13" s="70"/>
      <c r="V13" s="70"/>
      <c r="W13" s="70"/>
    </row>
    <row r="14" spans="1:23" s="2" customFormat="1" ht="12.75" customHeight="1" hidden="1">
      <c r="A14" s="124"/>
      <c r="B14" s="636" t="s">
        <v>345</v>
      </c>
      <c r="C14" s="635"/>
      <c r="D14" s="403"/>
      <c r="E14" s="402"/>
      <c r="F14" s="402"/>
      <c r="G14" s="403"/>
      <c r="H14" s="403"/>
      <c r="I14" s="637"/>
      <c r="J14" s="758"/>
      <c r="K14" s="758"/>
      <c r="L14" s="758"/>
      <c r="M14" s="801" t="e">
        <f t="shared" si="0"/>
        <v>#DIV/0!</v>
      </c>
      <c r="N14" s="65"/>
      <c r="O14" s="69"/>
      <c r="P14" s="357"/>
      <c r="Q14" s="57"/>
      <c r="R14" s="57"/>
      <c r="S14" s="57"/>
      <c r="T14" s="70"/>
      <c r="U14" s="70"/>
      <c r="V14" s="70"/>
      <c r="W14" s="70"/>
    </row>
    <row r="15" spans="1:23" s="2" customFormat="1" ht="12.75" customHeight="1">
      <c r="A15" s="124"/>
      <c r="B15" s="545" t="s">
        <v>10</v>
      </c>
      <c r="C15" s="546">
        <v>3950254</v>
      </c>
      <c r="D15" s="547">
        <v>3339761</v>
      </c>
      <c r="E15" s="548">
        <v>4010430</v>
      </c>
      <c r="F15" s="548">
        <v>3952290</v>
      </c>
      <c r="G15" s="547">
        <v>4615045</v>
      </c>
      <c r="H15" s="547">
        <v>1683327</v>
      </c>
      <c r="I15" s="547">
        <v>2064587</v>
      </c>
      <c r="J15" s="759">
        <v>5470439</v>
      </c>
      <c r="K15" s="759">
        <v>5470439</v>
      </c>
      <c r="L15" s="759">
        <v>1538579</v>
      </c>
      <c r="M15" s="821">
        <f t="shared" si="0"/>
        <v>0.2812532961248631</v>
      </c>
      <c r="N15" s="81"/>
      <c r="O15" s="69"/>
      <c r="P15" s="357"/>
      <c r="Q15" s="124" t="s">
        <v>174</v>
      </c>
      <c r="R15" s="57"/>
      <c r="S15" s="514" t="s">
        <v>291</v>
      </c>
      <c r="T15" s="70"/>
      <c r="U15" s="70"/>
      <c r="V15" s="70"/>
      <c r="W15" s="70"/>
    </row>
    <row r="16" spans="1:23" s="2" customFormat="1" ht="12.75" customHeight="1">
      <c r="A16" s="124">
        <v>1601</v>
      </c>
      <c r="B16" s="518" t="s">
        <v>349</v>
      </c>
      <c r="C16" s="427">
        <v>950000</v>
      </c>
      <c r="D16" s="398">
        <v>1299917</v>
      </c>
      <c r="E16" s="404">
        <f>C16</f>
        <v>950000</v>
      </c>
      <c r="F16" s="404">
        <v>895685</v>
      </c>
      <c r="G16" s="398">
        <v>1004000</v>
      </c>
      <c r="H16" s="398">
        <v>51774</v>
      </c>
      <c r="I16" s="398">
        <v>53951</v>
      </c>
      <c r="J16" s="757">
        <v>1304500</v>
      </c>
      <c r="K16" s="757">
        <v>1304500</v>
      </c>
      <c r="L16" s="757">
        <v>89893</v>
      </c>
      <c r="M16" s="801">
        <f t="shared" si="0"/>
        <v>0.0689099271751629</v>
      </c>
      <c r="N16" s="65"/>
      <c r="O16" s="69"/>
      <c r="P16" s="357"/>
      <c r="Q16" s="57">
        <f>J16</f>
        <v>1304500</v>
      </c>
      <c r="R16" s="348"/>
      <c r="S16" s="57">
        <f>52500+12000</f>
        <v>64500</v>
      </c>
      <c r="T16" s="70"/>
      <c r="U16" s="70"/>
      <c r="V16" s="70"/>
      <c r="W16" s="70"/>
    </row>
    <row r="17" spans="1:23" s="2" customFormat="1" ht="12.75" customHeight="1" hidden="1">
      <c r="A17" s="124"/>
      <c r="B17" s="535" t="s">
        <v>310</v>
      </c>
      <c r="C17" s="429"/>
      <c r="D17" s="406"/>
      <c r="E17" s="405">
        <v>130000</v>
      </c>
      <c r="F17" s="405">
        <v>130000</v>
      </c>
      <c r="G17" s="406"/>
      <c r="H17" s="406"/>
      <c r="I17" s="406"/>
      <c r="J17" s="757"/>
      <c r="K17" s="757"/>
      <c r="L17" s="757"/>
      <c r="M17" s="801" t="e">
        <f t="shared" si="0"/>
        <v>#DIV/0!</v>
      </c>
      <c r="N17" s="65"/>
      <c r="O17" s="69"/>
      <c r="P17" s="357"/>
      <c r="Q17" s="57"/>
      <c r="R17" s="348"/>
      <c r="S17" s="57"/>
      <c r="T17" s="70"/>
      <c r="U17" s="70"/>
      <c r="V17" s="70"/>
      <c r="W17" s="70"/>
    </row>
    <row r="18" spans="1:23" s="2" customFormat="1" ht="12.75" customHeight="1" hidden="1">
      <c r="A18" s="124"/>
      <c r="B18" s="535" t="s">
        <v>309</v>
      </c>
      <c r="C18" s="429"/>
      <c r="D18" s="406"/>
      <c r="E18" s="405">
        <v>30000</v>
      </c>
      <c r="F18" s="405">
        <v>30000</v>
      </c>
      <c r="G18" s="406">
        <v>50000</v>
      </c>
      <c r="H18" s="406"/>
      <c r="I18" s="406"/>
      <c r="J18" s="757"/>
      <c r="K18" s="757"/>
      <c r="L18" s="757"/>
      <c r="M18" s="801" t="e">
        <f t="shared" si="0"/>
        <v>#DIV/0!</v>
      </c>
      <c r="N18" s="65"/>
      <c r="O18" s="69"/>
      <c r="P18" s="357"/>
      <c r="Q18" s="57"/>
      <c r="R18" s="348"/>
      <c r="S18" s="57"/>
      <c r="T18" s="70"/>
      <c r="U18" s="70"/>
      <c r="V18" s="70"/>
      <c r="W18" s="70"/>
    </row>
    <row r="19" spans="1:23" s="2" customFormat="1" ht="12.75" customHeight="1" hidden="1">
      <c r="A19" s="124"/>
      <c r="B19" s="535" t="s">
        <v>337</v>
      </c>
      <c r="C19" s="429"/>
      <c r="D19" s="406"/>
      <c r="E19" s="405"/>
      <c r="F19" s="405"/>
      <c r="G19" s="406">
        <v>50000</v>
      </c>
      <c r="H19" s="406">
        <v>8815</v>
      </c>
      <c r="I19" s="406">
        <v>8815</v>
      </c>
      <c r="J19" s="757"/>
      <c r="K19" s="757"/>
      <c r="L19" s="757"/>
      <c r="M19" s="801" t="e">
        <f t="shared" si="0"/>
        <v>#DIV/0!</v>
      </c>
      <c r="N19" s="65"/>
      <c r="O19" s="69"/>
      <c r="P19" s="357"/>
      <c r="Q19" s="57">
        <f>J19</f>
        <v>0</v>
      </c>
      <c r="R19" s="348"/>
      <c r="S19" s="57"/>
      <c r="T19" s="70"/>
      <c r="U19" s="70"/>
      <c r="V19" s="70"/>
      <c r="W19" s="70"/>
    </row>
    <row r="20" spans="1:23" s="2" customFormat="1" ht="12.75" customHeight="1">
      <c r="A20" s="124"/>
      <c r="B20" s="850" t="s">
        <v>423</v>
      </c>
      <c r="C20" s="429"/>
      <c r="D20" s="851"/>
      <c r="E20" s="852"/>
      <c r="F20" s="852"/>
      <c r="G20" s="851"/>
      <c r="H20" s="851"/>
      <c r="I20" s="851"/>
      <c r="J20" s="853"/>
      <c r="K20" s="853">
        <v>200000</v>
      </c>
      <c r="L20" s="757"/>
      <c r="M20" s="801"/>
      <c r="N20" s="65"/>
      <c r="O20" s="69"/>
      <c r="P20" s="357"/>
      <c r="Q20" s="57"/>
      <c r="R20" s="348"/>
      <c r="S20" s="57"/>
      <c r="T20" s="70"/>
      <c r="U20" s="70"/>
      <c r="V20" s="70"/>
      <c r="W20" s="70"/>
    </row>
    <row r="21" spans="1:23" s="2" customFormat="1" ht="12.75" customHeight="1">
      <c r="A21" s="124"/>
      <c r="B21" s="850" t="s">
        <v>425</v>
      </c>
      <c r="C21" s="429"/>
      <c r="D21" s="851"/>
      <c r="E21" s="852"/>
      <c r="F21" s="852"/>
      <c r="G21" s="851"/>
      <c r="H21" s="851"/>
      <c r="I21" s="851"/>
      <c r="J21" s="853"/>
      <c r="K21" s="853">
        <v>50000</v>
      </c>
      <c r="L21" s="757"/>
      <c r="M21" s="801"/>
      <c r="N21" s="65"/>
      <c r="O21" s="69"/>
      <c r="P21" s="357"/>
      <c r="Q21" s="57"/>
      <c r="R21" s="348"/>
      <c r="S21" s="57"/>
      <c r="T21" s="70"/>
      <c r="U21" s="70"/>
      <c r="V21" s="70"/>
      <c r="W21" s="70"/>
    </row>
    <row r="22" spans="1:23" s="2" customFormat="1" ht="12.75" customHeight="1">
      <c r="A22" s="124">
        <v>1902</v>
      </c>
      <c r="B22" s="518" t="s">
        <v>139</v>
      </c>
      <c r="C22" s="427">
        <v>100000</v>
      </c>
      <c r="D22" s="398">
        <v>2815</v>
      </c>
      <c r="E22" s="404">
        <f>C22</f>
        <v>100000</v>
      </c>
      <c r="F22" s="404">
        <v>36664</v>
      </c>
      <c r="G22" s="398">
        <v>50000</v>
      </c>
      <c r="H22" s="398">
        <v>21502</v>
      </c>
      <c r="I22" s="398">
        <v>23173</v>
      </c>
      <c r="J22" s="757">
        <v>50000</v>
      </c>
      <c r="K22" s="757">
        <v>50000</v>
      </c>
      <c r="L22" s="757">
        <v>1800</v>
      </c>
      <c r="M22" s="801">
        <f t="shared" si="0"/>
        <v>0.036</v>
      </c>
      <c r="N22" s="65"/>
      <c r="O22" s="69"/>
      <c r="P22" s="357"/>
      <c r="Q22" s="57">
        <f>J22</f>
        <v>50000</v>
      </c>
      <c r="R22" s="348"/>
      <c r="S22" s="57"/>
      <c r="T22" s="70"/>
      <c r="U22" s="70"/>
      <c r="V22" s="70"/>
      <c r="W22" s="70"/>
    </row>
    <row r="23" spans="1:23" s="2" customFormat="1" ht="12.75" customHeight="1">
      <c r="A23" s="124">
        <v>1306</v>
      </c>
      <c r="B23" s="830" t="s">
        <v>69</v>
      </c>
      <c r="C23" s="430">
        <v>30000</v>
      </c>
      <c r="D23" s="398">
        <v>40346</v>
      </c>
      <c r="E23" s="404">
        <f>C23</f>
        <v>30000</v>
      </c>
      <c r="F23" s="404">
        <v>45600</v>
      </c>
      <c r="G23" s="398">
        <v>42000</v>
      </c>
      <c r="H23" s="398"/>
      <c r="I23" s="398"/>
      <c r="J23" s="757">
        <v>50000</v>
      </c>
      <c r="K23" s="757">
        <v>50000</v>
      </c>
      <c r="L23" s="757">
        <v>0</v>
      </c>
      <c r="M23" s="801">
        <f t="shared" si="0"/>
        <v>0</v>
      </c>
      <c r="N23" s="65"/>
      <c r="O23" s="69"/>
      <c r="P23" s="357"/>
      <c r="Q23" s="57">
        <f>J23</f>
        <v>50000</v>
      </c>
      <c r="R23" s="348"/>
      <c r="S23" s="57"/>
      <c r="T23" s="70"/>
      <c r="U23" s="70"/>
      <c r="V23" s="70"/>
      <c r="W23" s="70"/>
    </row>
    <row r="24" spans="1:23" s="2" customFormat="1" ht="12.75" customHeight="1" hidden="1">
      <c r="A24" s="124">
        <v>1317</v>
      </c>
      <c r="B24" s="518" t="s">
        <v>176</v>
      </c>
      <c r="C24" s="430"/>
      <c r="D24" s="398">
        <v>37000</v>
      </c>
      <c r="E24" s="404"/>
      <c r="F24" s="404"/>
      <c r="G24" s="398"/>
      <c r="H24" s="398"/>
      <c r="I24" s="398"/>
      <c r="J24" s="757"/>
      <c r="K24" s="757"/>
      <c r="L24" s="757"/>
      <c r="M24" s="801" t="e">
        <f t="shared" si="0"/>
        <v>#DIV/0!</v>
      </c>
      <c r="N24" s="65"/>
      <c r="O24" s="69"/>
      <c r="P24" s="357"/>
      <c r="Q24" s="57"/>
      <c r="R24" s="348"/>
      <c r="S24" s="57"/>
      <c r="T24" s="70"/>
      <c r="U24" s="70"/>
      <c r="V24" s="70"/>
      <c r="W24" s="70"/>
    </row>
    <row r="25" spans="1:23" s="2" customFormat="1" ht="12.75" customHeight="1">
      <c r="A25" s="124">
        <v>1313</v>
      </c>
      <c r="B25" s="830" t="s">
        <v>24</v>
      </c>
      <c r="C25" s="430">
        <v>40000</v>
      </c>
      <c r="D25" s="398">
        <v>37752</v>
      </c>
      <c r="E25" s="404">
        <f>C25</f>
        <v>40000</v>
      </c>
      <c r="F25" s="404">
        <v>33632</v>
      </c>
      <c r="G25" s="398">
        <v>60000</v>
      </c>
      <c r="H25" s="398">
        <v>11920</v>
      </c>
      <c r="I25" s="398">
        <v>31920</v>
      </c>
      <c r="J25" s="757">
        <f>60000-30000</f>
        <v>30000</v>
      </c>
      <c r="K25" s="757">
        <f>60000-30000</f>
        <v>30000</v>
      </c>
      <c r="L25" s="757">
        <f>24811-L49</f>
        <v>4811</v>
      </c>
      <c r="M25" s="801">
        <f t="shared" si="0"/>
        <v>0.16036666666666666</v>
      </c>
      <c r="N25" s="65"/>
      <c r="O25" s="69"/>
      <c r="P25" s="357" t="s">
        <v>173</v>
      </c>
      <c r="Q25" s="57">
        <f aca="true" t="shared" si="1" ref="Q25:Q31">J25</f>
        <v>30000</v>
      </c>
      <c r="R25" s="348"/>
      <c r="S25" s="57"/>
      <c r="T25" s="70"/>
      <c r="U25" s="70"/>
      <c r="V25" s="70"/>
      <c r="W25" s="70"/>
    </row>
    <row r="26" spans="1:23" s="2" customFormat="1" ht="12.75" customHeight="1">
      <c r="A26" s="124">
        <v>1318</v>
      </c>
      <c r="B26" s="830" t="s">
        <v>25</v>
      </c>
      <c r="C26" s="430">
        <v>40000</v>
      </c>
      <c r="D26" s="398">
        <v>28894</v>
      </c>
      <c r="E26" s="404">
        <v>15265</v>
      </c>
      <c r="F26" s="404">
        <v>15801</v>
      </c>
      <c r="G26" s="398">
        <v>40000</v>
      </c>
      <c r="H26" s="398">
        <v>19699</v>
      </c>
      <c r="I26" s="398">
        <v>19699</v>
      </c>
      <c r="J26" s="757">
        <v>19000</v>
      </c>
      <c r="K26" s="757">
        <v>19000</v>
      </c>
      <c r="L26" s="757">
        <f>28689</f>
        <v>28689</v>
      </c>
      <c r="M26" s="801">
        <f t="shared" si="0"/>
        <v>1.5099473684210527</v>
      </c>
      <c r="N26" s="65"/>
      <c r="O26" s="69"/>
      <c r="P26" s="357"/>
      <c r="Q26" s="57">
        <f t="shared" si="1"/>
        <v>19000</v>
      </c>
      <c r="R26" s="348"/>
      <c r="S26" s="57">
        <v>9000</v>
      </c>
      <c r="T26" s="70"/>
      <c r="U26" s="70"/>
      <c r="V26" s="70"/>
      <c r="W26" s="70"/>
    </row>
    <row r="27" spans="1:23" s="2" customFormat="1" ht="12.75" customHeight="1">
      <c r="A27" s="124">
        <v>1311</v>
      </c>
      <c r="B27" s="830" t="s">
        <v>26</v>
      </c>
      <c r="C27" s="430">
        <v>120000</v>
      </c>
      <c r="D27" s="398">
        <v>135729</v>
      </c>
      <c r="E27" s="404">
        <v>127328</v>
      </c>
      <c r="F27" s="404">
        <v>117696</v>
      </c>
      <c r="G27" s="398">
        <v>130000</v>
      </c>
      <c r="H27" s="398"/>
      <c r="I27" s="398"/>
      <c r="J27" s="757">
        <v>130000</v>
      </c>
      <c r="K27" s="757">
        <v>130000</v>
      </c>
      <c r="L27" s="757">
        <v>0</v>
      </c>
      <c r="M27" s="801">
        <f t="shared" si="0"/>
        <v>0</v>
      </c>
      <c r="N27" s="65"/>
      <c r="O27" s="69"/>
      <c r="P27" s="357"/>
      <c r="Q27" s="57">
        <f t="shared" si="1"/>
        <v>130000</v>
      </c>
      <c r="R27" s="348"/>
      <c r="S27" s="57"/>
      <c r="T27" s="70"/>
      <c r="U27" s="70"/>
      <c r="V27" s="70"/>
      <c r="W27" s="70"/>
    </row>
    <row r="28" spans="1:23" s="2" customFormat="1" ht="12.75" customHeight="1" hidden="1">
      <c r="A28" s="124">
        <v>1500</v>
      </c>
      <c r="B28" s="518" t="s">
        <v>20</v>
      </c>
      <c r="C28" s="430">
        <v>402930</v>
      </c>
      <c r="D28" s="398">
        <v>452092</v>
      </c>
      <c r="E28" s="404">
        <v>510154</v>
      </c>
      <c r="F28" s="404">
        <v>628230</v>
      </c>
      <c r="G28" s="398"/>
      <c r="H28" s="398">
        <v>40635</v>
      </c>
      <c r="I28" s="398">
        <v>40635</v>
      </c>
      <c r="J28" s="757">
        <v>0</v>
      </c>
      <c r="K28" s="757">
        <v>0</v>
      </c>
      <c r="L28" s="757"/>
      <c r="M28" s="801" t="e">
        <f t="shared" si="0"/>
        <v>#DIV/0!</v>
      </c>
      <c r="N28" s="65"/>
      <c r="O28" s="69"/>
      <c r="P28" s="357"/>
      <c r="Q28" s="57">
        <f t="shared" si="1"/>
        <v>0</v>
      </c>
      <c r="R28" s="348"/>
      <c r="S28" s="57"/>
      <c r="T28" s="70"/>
      <c r="U28" s="70"/>
      <c r="V28" s="70"/>
      <c r="W28" s="70"/>
    </row>
    <row r="29" spans="1:23" s="2" customFormat="1" ht="12.75" customHeight="1">
      <c r="A29" s="124">
        <v>1323</v>
      </c>
      <c r="B29" s="830" t="s">
        <v>40</v>
      </c>
      <c r="C29" s="430">
        <v>50000</v>
      </c>
      <c r="D29" s="398">
        <v>26825</v>
      </c>
      <c r="E29" s="404">
        <v>15397</v>
      </c>
      <c r="F29" s="404">
        <v>15397</v>
      </c>
      <c r="G29" s="398">
        <v>30000</v>
      </c>
      <c r="H29" s="398">
        <v>16672</v>
      </c>
      <c r="I29" s="398">
        <v>16762</v>
      </c>
      <c r="J29" s="757">
        <v>30000</v>
      </c>
      <c r="K29" s="757">
        <v>30000</v>
      </c>
      <c r="L29" s="757">
        <v>14314</v>
      </c>
      <c r="M29" s="801">
        <f t="shared" si="0"/>
        <v>0.47713333333333335</v>
      </c>
      <c r="N29" s="65"/>
      <c r="O29" s="69"/>
      <c r="P29" s="357"/>
      <c r="Q29" s="57">
        <f t="shared" si="1"/>
        <v>30000</v>
      </c>
      <c r="R29" s="348"/>
      <c r="S29" s="57">
        <v>12000</v>
      </c>
      <c r="T29" s="70"/>
      <c r="U29" s="70"/>
      <c r="V29" s="70"/>
      <c r="W29" s="70"/>
    </row>
    <row r="30" spans="1:23" s="2" customFormat="1" ht="12.75" customHeight="1">
      <c r="A30" s="124">
        <v>1324</v>
      </c>
      <c r="B30" s="830" t="s">
        <v>41</v>
      </c>
      <c r="C30" s="430">
        <v>30000</v>
      </c>
      <c r="D30" s="398">
        <v>64487</v>
      </c>
      <c r="E30" s="404">
        <f>C30</f>
        <v>30000</v>
      </c>
      <c r="F30" s="404">
        <v>42642</v>
      </c>
      <c r="G30" s="398">
        <v>60000</v>
      </c>
      <c r="H30" s="398">
        <v>29980</v>
      </c>
      <c r="I30" s="398">
        <v>29980</v>
      </c>
      <c r="J30" s="757">
        <v>70000</v>
      </c>
      <c r="K30" s="757">
        <v>70000</v>
      </c>
      <c r="L30" s="757">
        <v>26100</v>
      </c>
      <c r="M30" s="801">
        <f t="shared" si="0"/>
        <v>0.37285714285714283</v>
      </c>
      <c r="N30" s="65"/>
      <c r="O30" s="69"/>
      <c r="P30" s="357"/>
      <c r="Q30" s="57">
        <f t="shared" si="1"/>
        <v>70000</v>
      </c>
      <c r="R30" s="348"/>
      <c r="S30" s="57">
        <v>50000</v>
      </c>
      <c r="T30" s="70"/>
      <c r="U30" s="70"/>
      <c r="V30" s="70"/>
      <c r="W30" s="70"/>
    </row>
    <row r="31" spans="1:23" s="2" customFormat="1" ht="12.75" customHeight="1">
      <c r="A31" s="124">
        <v>1325</v>
      </c>
      <c r="B31" s="833" t="s">
        <v>177</v>
      </c>
      <c r="C31" s="430">
        <v>80000</v>
      </c>
      <c r="D31" s="398">
        <v>291326</v>
      </c>
      <c r="E31" s="404">
        <v>316888</v>
      </c>
      <c r="F31" s="404">
        <v>316888</v>
      </c>
      <c r="G31" s="398">
        <v>330000</v>
      </c>
      <c r="H31" s="398">
        <v>309354</v>
      </c>
      <c r="I31" s="398">
        <v>316554</v>
      </c>
      <c r="J31" s="835">
        <f>355000-40000-50000</f>
        <v>265000</v>
      </c>
      <c r="K31" s="835">
        <f>355000-40000-50000</f>
        <v>265000</v>
      </c>
      <c r="L31" s="835">
        <v>3763</v>
      </c>
      <c r="M31" s="836">
        <f t="shared" si="0"/>
        <v>0.0142</v>
      </c>
      <c r="N31" s="65"/>
      <c r="O31" s="69"/>
      <c r="P31" s="357"/>
      <c r="Q31" s="57">
        <f t="shared" si="1"/>
        <v>265000</v>
      </c>
      <c r="R31" s="348"/>
      <c r="S31" s="57">
        <v>75000</v>
      </c>
      <c r="T31" s="70"/>
      <c r="U31" s="70"/>
      <c r="V31" s="70"/>
      <c r="W31" s="70"/>
    </row>
    <row r="32" spans="1:23" s="2" customFormat="1" ht="12.75" customHeight="1" hidden="1">
      <c r="A32" s="124"/>
      <c r="B32" s="535" t="s">
        <v>178</v>
      </c>
      <c r="C32" s="576"/>
      <c r="D32" s="577"/>
      <c r="E32" s="577">
        <v>50000</v>
      </c>
      <c r="F32" s="577">
        <v>50000</v>
      </c>
      <c r="G32" s="577"/>
      <c r="H32" s="577"/>
      <c r="I32" s="406"/>
      <c r="J32" s="835"/>
      <c r="K32" s="835"/>
      <c r="L32" s="835"/>
      <c r="M32" s="836" t="e">
        <f t="shared" si="0"/>
        <v>#DIV/0!</v>
      </c>
      <c r="N32" s="65"/>
      <c r="O32" s="69"/>
      <c r="P32" s="357"/>
      <c r="Q32" s="57"/>
      <c r="R32" s="348"/>
      <c r="S32" s="57"/>
      <c r="T32" s="70"/>
      <c r="U32" s="70"/>
      <c r="V32" s="70"/>
      <c r="W32" s="70"/>
    </row>
    <row r="33" spans="1:23" s="2" customFormat="1" ht="12.75" customHeight="1">
      <c r="A33" s="124">
        <v>1312</v>
      </c>
      <c r="B33" s="834" t="s">
        <v>179</v>
      </c>
      <c r="C33" s="576">
        <v>370000</v>
      </c>
      <c r="D33" s="577">
        <v>246390</v>
      </c>
      <c r="E33" s="593">
        <f>C33</f>
        <v>370000</v>
      </c>
      <c r="F33" s="593">
        <v>309048</v>
      </c>
      <c r="G33" s="577">
        <v>370000</v>
      </c>
      <c r="H33" s="577">
        <v>52</v>
      </c>
      <c r="I33" s="398">
        <v>2551</v>
      </c>
      <c r="J33" s="835">
        <v>270000</v>
      </c>
      <c r="K33" s="835">
        <v>270000</v>
      </c>
      <c r="L33" s="835">
        <v>36</v>
      </c>
      <c r="M33" s="836">
        <f t="shared" si="0"/>
        <v>0.00013333333333333334</v>
      </c>
      <c r="N33" s="65"/>
      <c r="O33" s="69"/>
      <c r="P33" s="357"/>
      <c r="Q33" s="57">
        <f aca="true" t="shared" si="2" ref="Q33:Q40">J33</f>
        <v>270000</v>
      </c>
      <c r="R33" s="348"/>
      <c r="S33" s="57"/>
      <c r="T33" s="70"/>
      <c r="U33" s="70"/>
      <c r="V33" s="70"/>
      <c r="W33" s="70"/>
    </row>
    <row r="34" spans="1:23" s="2" customFormat="1" ht="12.75" customHeight="1" hidden="1">
      <c r="A34" s="124"/>
      <c r="B34" s="644" t="s">
        <v>341</v>
      </c>
      <c r="C34" s="576"/>
      <c r="D34" s="577"/>
      <c r="E34" s="593"/>
      <c r="F34" s="593"/>
      <c r="G34" s="577"/>
      <c r="H34" s="577"/>
      <c r="I34" s="398"/>
      <c r="J34" s="757">
        <v>0</v>
      </c>
      <c r="K34" s="757">
        <v>0</v>
      </c>
      <c r="L34" s="757"/>
      <c r="M34" s="801" t="e">
        <f t="shared" si="0"/>
        <v>#DIV/0!</v>
      </c>
      <c r="N34" s="65"/>
      <c r="O34" s="69"/>
      <c r="P34" s="357"/>
      <c r="Q34" s="57">
        <f t="shared" si="2"/>
        <v>0</v>
      </c>
      <c r="R34" s="348"/>
      <c r="S34" s="57" t="s">
        <v>356</v>
      </c>
      <c r="T34" s="70"/>
      <c r="U34" s="70"/>
      <c r="V34" s="70"/>
      <c r="W34" s="70"/>
    </row>
    <row r="35" spans="1:23" s="2" customFormat="1" ht="12.75" customHeight="1" hidden="1">
      <c r="A35" s="124"/>
      <c r="B35" s="592" t="s">
        <v>245</v>
      </c>
      <c r="C35" s="576"/>
      <c r="D35" s="577"/>
      <c r="E35" s="593"/>
      <c r="F35" s="593"/>
      <c r="G35" s="577"/>
      <c r="H35" s="577"/>
      <c r="I35" s="398"/>
      <c r="J35" s="757"/>
      <c r="K35" s="757"/>
      <c r="L35" s="757"/>
      <c r="M35" s="801" t="e">
        <f t="shared" si="0"/>
        <v>#DIV/0!</v>
      </c>
      <c r="N35" s="65"/>
      <c r="O35" s="69"/>
      <c r="P35" s="357"/>
      <c r="Q35" s="57">
        <f t="shared" si="2"/>
        <v>0</v>
      </c>
      <c r="R35" s="348"/>
      <c r="S35" s="57"/>
      <c r="T35" s="70"/>
      <c r="U35" s="70"/>
      <c r="V35" s="70"/>
      <c r="W35" s="70"/>
    </row>
    <row r="36" spans="1:23" s="2" customFormat="1" ht="12.75" customHeight="1">
      <c r="A36" s="124">
        <v>1328</v>
      </c>
      <c r="B36" s="831" t="s">
        <v>44</v>
      </c>
      <c r="C36" s="576">
        <v>20000</v>
      </c>
      <c r="D36" s="577">
        <v>36664</v>
      </c>
      <c r="E36" s="593">
        <v>30050</v>
      </c>
      <c r="F36" s="593">
        <v>30050</v>
      </c>
      <c r="G36" s="577">
        <v>40000</v>
      </c>
      <c r="H36" s="577">
        <v>12</v>
      </c>
      <c r="I36" s="398">
        <v>7114</v>
      </c>
      <c r="J36" s="757">
        <v>38000</v>
      </c>
      <c r="K36" s="757">
        <v>38000</v>
      </c>
      <c r="L36" s="757">
        <v>0</v>
      </c>
      <c r="M36" s="801">
        <f t="shared" si="0"/>
        <v>0</v>
      </c>
      <c r="N36" s="65"/>
      <c r="O36" s="69"/>
      <c r="P36" s="357"/>
      <c r="Q36" s="57">
        <f t="shared" si="2"/>
        <v>38000</v>
      </c>
      <c r="R36" s="348"/>
      <c r="S36" s="57">
        <v>24000</v>
      </c>
      <c r="T36" s="70"/>
      <c r="U36" s="70"/>
      <c r="V36" s="70"/>
      <c r="W36" s="70"/>
    </row>
    <row r="37" spans="1:23" s="2" customFormat="1" ht="12.75" customHeight="1">
      <c r="A37" s="124">
        <v>1316</v>
      </c>
      <c r="B37" s="831" t="s">
        <v>220</v>
      </c>
      <c r="C37" s="576">
        <v>60000</v>
      </c>
      <c r="D37" s="577">
        <v>148949</v>
      </c>
      <c r="E37" s="593">
        <v>38895</v>
      </c>
      <c r="F37" s="593">
        <v>38895</v>
      </c>
      <c r="G37" s="577">
        <v>50000</v>
      </c>
      <c r="H37" s="577">
        <v>42335</v>
      </c>
      <c r="I37" s="398">
        <v>42335</v>
      </c>
      <c r="J37" s="757">
        <v>60000</v>
      </c>
      <c r="K37" s="757">
        <v>60000</v>
      </c>
      <c r="L37" s="757">
        <v>39207</v>
      </c>
      <c r="M37" s="801">
        <f t="shared" si="0"/>
        <v>0.65345</v>
      </c>
      <c r="N37" s="65"/>
      <c r="O37" s="69"/>
      <c r="P37" s="357"/>
      <c r="Q37" s="57">
        <f t="shared" si="2"/>
        <v>60000</v>
      </c>
      <c r="R37" s="348"/>
      <c r="S37" s="57">
        <v>30000</v>
      </c>
      <c r="T37" s="70"/>
      <c r="U37" s="70"/>
      <c r="V37" s="70"/>
      <c r="W37" s="70"/>
    </row>
    <row r="38" spans="1:23" s="2" customFormat="1" ht="12.75" customHeight="1">
      <c r="A38" s="124">
        <v>1208</v>
      </c>
      <c r="B38" s="831" t="s">
        <v>180</v>
      </c>
      <c r="C38" s="576">
        <v>50000</v>
      </c>
      <c r="D38" s="577">
        <v>145055</v>
      </c>
      <c r="E38" s="593">
        <f>C38</f>
        <v>50000</v>
      </c>
      <c r="F38" s="593">
        <v>184574</v>
      </c>
      <c r="G38" s="577">
        <v>123500</v>
      </c>
      <c r="H38" s="577">
        <v>112217</v>
      </c>
      <c r="I38" s="398">
        <v>112217</v>
      </c>
      <c r="J38" s="757">
        <v>155000</v>
      </c>
      <c r="K38" s="757">
        <v>155000</v>
      </c>
      <c r="L38" s="757">
        <v>117932</v>
      </c>
      <c r="M38" s="801">
        <f t="shared" si="0"/>
        <v>0.7608516129032258</v>
      </c>
      <c r="N38" s="65"/>
      <c r="O38" s="69"/>
      <c r="P38" s="357"/>
      <c r="Q38" s="57">
        <f t="shared" si="2"/>
        <v>155000</v>
      </c>
      <c r="R38" s="348"/>
      <c r="S38" s="57">
        <v>105000</v>
      </c>
      <c r="T38" s="70"/>
      <c r="U38" s="70"/>
      <c r="V38" s="70"/>
      <c r="W38" s="70"/>
    </row>
    <row r="39" spans="1:23" s="2" customFormat="1" ht="12.75" customHeight="1">
      <c r="A39" s="124">
        <v>1322</v>
      </c>
      <c r="B39" s="831" t="s">
        <v>221</v>
      </c>
      <c r="C39" s="576"/>
      <c r="D39" s="577"/>
      <c r="E39" s="593"/>
      <c r="F39" s="593"/>
      <c r="G39" s="577">
        <v>52000</v>
      </c>
      <c r="H39" s="577">
        <v>51462</v>
      </c>
      <c r="I39" s="398">
        <v>51462</v>
      </c>
      <c r="J39" s="757">
        <v>96000</v>
      </c>
      <c r="K39" s="757">
        <v>96000</v>
      </c>
      <c r="L39" s="757">
        <v>47617</v>
      </c>
      <c r="M39" s="801">
        <f t="shared" si="0"/>
        <v>0.4960104166666667</v>
      </c>
      <c r="N39" s="65"/>
      <c r="O39" s="69"/>
      <c r="P39" s="357"/>
      <c r="Q39" s="57">
        <f t="shared" si="2"/>
        <v>96000</v>
      </c>
      <c r="R39" s="348"/>
      <c r="S39" s="57">
        <v>66000</v>
      </c>
      <c r="T39" s="70"/>
      <c r="U39" s="70"/>
      <c r="V39" s="70"/>
      <c r="W39" s="70"/>
    </row>
    <row r="40" spans="1:23" s="2" customFormat="1" ht="12.75" customHeight="1">
      <c r="A40" s="124">
        <v>1321</v>
      </c>
      <c r="B40" s="831" t="s">
        <v>181</v>
      </c>
      <c r="C40" s="576">
        <v>15000</v>
      </c>
      <c r="D40" s="577">
        <v>15013</v>
      </c>
      <c r="E40" s="593">
        <f>C40</f>
        <v>15000</v>
      </c>
      <c r="F40" s="593">
        <v>15211</v>
      </c>
      <c r="G40" s="577">
        <v>15000</v>
      </c>
      <c r="H40" s="577">
        <v>0</v>
      </c>
      <c r="I40" s="398"/>
      <c r="J40" s="757">
        <v>15000</v>
      </c>
      <c r="K40" s="757">
        <v>15000</v>
      </c>
      <c r="L40" s="757">
        <v>0</v>
      </c>
      <c r="M40" s="801">
        <f t="shared" si="0"/>
        <v>0</v>
      </c>
      <c r="N40" s="65"/>
      <c r="O40" s="69"/>
      <c r="P40" s="357"/>
      <c r="Q40" s="57">
        <f t="shared" si="2"/>
        <v>15000</v>
      </c>
      <c r="R40" s="348"/>
      <c r="S40" s="57"/>
      <c r="T40" s="70"/>
      <c r="U40" s="70"/>
      <c r="V40" s="70"/>
      <c r="W40" s="70"/>
    </row>
    <row r="41" spans="1:23" s="2" customFormat="1" ht="12.75" customHeight="1" hidden="1">
      <c r="A41" s="124">
        <v>1304</v>
      </c>
      <c r="B41" s="592" t="s">
        <v>45</v>
      </c>
      <c r="C41" s="576">
        <v>20000</v>
      </c>
      <c r="D41" s="577">
        <v>9000</v>
      </c>
      <c r="E41" s="593">
        <f>C41</f>
        <v>20000</v>
      </c>
      <c r="F41" s="593">
        <v>20602</v>
      </c>
      <c r="G41" s="577"/>
      <c r="H41" s="577">
        <v>0</v>
      </c>
      <c r="I41" s="398"/>
      <c r="J41" s="757"/>
      <c r="K41" s="757"/>
      <c r="L41" s="757"/>
      <c r="M41" s="801" t="e">
        <f t="shared" si="0"/>
        <v>#DIV/0!</v>
      </c>
      <c r="N41" s="65"/>
      <c r="O41" s="69"/>
      <c r="P41" s="357"/>
      <c r="Q41" s="57"/>
      <c r="R41" s="348"/>
      <c r="S41" s="57"/>
      <c r="T41" s="70"/>
      <c r="U41" s="70"/>
      <c r="V41" s="70"/>
      <c r="W41" s="70"/>
    </row>
    <row r="42" spans="1:23" s="2" customFormat="1" ht="12.75" customHeight="1">
      <c r="A42" s="124">
        <v>1320</v>
      </c>
      <c r="B42" s="834" t="s">
        <v>182</v>
      </c>
      <c r="C42" s="576">
        <v>50000</v>
      </c>
      <c r="D42" s="577">
        <v>5500</v>
      </c>
      <c r="E42" s="593">
        <v>54436</v>
      </c>
      <c r="F42" s="593">
        <v>54436</v>
      </c>
      <c r="G42" s="577">
        <v>80000</v>
      </c>
      <c r="H42" s="577">
        <v>1295</v>
      </c>
      <c r="I42" s="398">
        <v>9535</v>
      </c>
      <c r="J42" s="835">
        <f>80000-10000</f>
        <v>70000</v>
      </c>
      <c r="K42" s="835">
        <f>80000-10000</f>
        <v>70000</v>
      </c>
      <c r="L42" s="835">
        <v>0</v>
      </c>
      <c r="M42" s="836">
        <f t="shared" si="0"/>
        <v>0</v>
      </c>
      <c r="N42" s="65"/>
      <c r="O42" s="69"/>
      <c r="P42" s="357"/>
      <c r="Q42" s="57">
        <f>J42</f>
        <v>70000</v>
      </c>
      <c r="R42" s="348"/>
      <c r="S42" s="57">
        <v>30000</v>
      </c>
      <c r="T42" s="70"/>
      <c r="U42" s="70"/>
      <c r="V42" s="70"/>
      <c r="W42" s="70"/>
    </row>
    <row r="43" spans="1:23" s="2" customFormat="1" ht="12.75" customHeight="1" hidden="1">
      <c r="A43" s="124"/>
      <c r="B43" s="592" t="s">
        <v>183</v>
      </c>
      <c r="C43" s="576"/>
      <c r="D43" s="577"/>
      <c r="E43" s="593">
        <v>10000</v>
      </c>
      <c r="F43" s="593">
        <v>10000</v>
      </c>
      <c r="G43" s="577"/>
      <c r="H43" s="577"/>
      <c r="I43" s="406"/>
      <c r="J43" s="757"/>
      <c r="K43" s="757"/>
      <c r="L43" s="757"/>
      <c r="M43" s="801" t="e">
        <f t="shared" si="0"/>
        <v>#DIV/0!</v>
      </c>
      <c r="N43" s="65"/>
      <c r="O43" s="69"/>
      <c r="P43" s="357"/>
      <c r="Q43" s="57"/>
      <c r="R43" s="348"/>
      <c r="S43" s="57"/>
      <c r="T43" s="70"/>
      <c r="U43" s="70"/>
      <c r="V43" s="70"/>
      <c r="W43" s="70"/>
    </row>
    <row r="44" spans="1:23" s="2" customFormat="1" ht="12.75" customHeight="1">
      <c r="A44" s="124">
        <v>1305</v>
      </c>
      <c r="B44" s="592" t="s">
        <v>343</v>
      </c>
      <c r="C44" s="576">
        <v>20000</v>
      </c>
      <c r="D44" s="577">
        <v>19921</v>
      </c>
      <c r="E44" s="593">
        <f>C44</f>
        <v>20000</v>
      </c>
      <c r="F44" s="593">
        <v>12524</v>
      </c>
      <c r="G44" s="577">
        <v>20000</v>
      </c>
      <c r="H44" s="577">
        <v>7744</v>
      </c>
      <c r="I44" s="398">
        <v>8349</v>
      </c>
      <c r="J44" s="757">
        <v>10000</v>
      </c>
      <c r="K44" s="757">
        <v>10000</v>
      </c>
      <c r="L44" s="757">
        <v>0</v>
      </c>
      <c r="M44" s="801">
        <f t="shared" si="0"/>
        <v>0</v>
      </c>
      <c r="N44" s="65"/>
      <c r="O44" s="69"/>
      <c r="P44" s="357"/>
      <c r="Q44" s="57">
        <f>J44</f>
        <v>10000</v>
      </c>
      <c r="R44" s="348"/>
      <c r="S44" s="57"/>
      <c r="T44" s="70"/>
      <c r="U44" s="70"/>
      <c r="V44" s="70"/>
      <c r="W44" s="70"/>
    </row>
    <row r="45" spans="1:23" s="2" customFormat="1" ht="12.75" customHeight="1">
      <c r="A45" s="124">
        <v>1905</v>
      </c>
      <c r="B45" s="831" t="s">
        <v>186</v>
      </c>
      <c r="C45" s="576"/>
      <c r="D45" s="577"/>
      <c r="E45" s="593">
        <v>40000</v>
      </c>
      <c r="F45" s="593">
        <v>85118</v>
      </c>
      <c r="G45" s="577">
        <v>90000</v>
      </c>
      <c r="H45" s="577">
        <v>70</v>
      </c>
      <c r="I45" s="406">
        <v>6074</v>
      </c>
      <c r="J45" s="757">
        <v>80000</v>
      </c>
      <c r="K45" s="757">
        <v>80000</v>
      </c>
      <c r="L45" s="757">
        <v>0</v>
      </c>
      <c r="M45" s="801">
        <f t="shared" si="0"/>
        <v>0</v>
      </c>
      <c r="N45" s="65"/>
      <c r="O45" s="69"/>
      <c r="P45" s="357"/>
      <c r="Q45" s="57">
        <f>J45</f>
        <v>80000</v>
      </c>
      <c r="R45" s="348"/>
      <c r="S45" s="57"/>
      <c r="T45" s="70"/>
      <c r="U45" s="70"/>
      <c r="V45" s="70"/>
      <c r="W45" s="70"/>
    </row>
    <row r="46" spans="1:23" s="2" customFormat="1" ht="12.75" customHeight="1" hidden="1">
      <c r="A46" s="124"/>
      <c r="B46" s="592" t="s">
        <v>308</v>
      </c>
      <c r="C46" s="576"/>
      <c r="D46" s="577"/>
      <c r="E46" s="593">
        <v>15000</v>
      </c>
      <c r="F46" s="593">
        <v>15000</v>
      </c>
      <c r="G46" s="577"/>
      <c r="H46" s="577"/>
      <c r="I46" s="406"/>
      <c r="J46" s="757"/>
      <c r="K46" s="757"/>
      <c r="L46" s="757"/>
      <c r="M46" s="801" t="e">
        <f t="shared" si="0"/>
        <v>#DIV/0!</v>
      </c>
      <c r="N46" s="65"/>
      <c r="O46" s="69"/>
      <c r="P46" s="357"/>
      <c r="Q46" s="57"/>
      <c r="R46" s="348"/>
      <c r="S46" s="57"/>
      <c r="T46" s="70"/>
      <c r="U46" s="70"/>
      <c r="V46" s="70"/>
      <c r="W46" s="70"/>
    </row>
    <row r="47" spans="1:23" s="2" customFormat="1" ht="12.75" customHeight="1">
      <c r="A47" s="124">
        <v>1308</v>
      </c>
      <c r="B47" s="834" t="s">
        <v>317</v>
      </c>
      <c r="C47" s="576"/>
      <c r="D47" s="577"/>
      <c r="E47" s="593"/>
      <c r="F47" s="593">
        <v>86701</v>
      </c>
      <c r="G47" s="577">
        <v>210000</v>
      </c>
      <c r="H47" s="577">
        <v>1984</v>
      </c>
      <c r="I47" s="406">
        <v>194070</v>
      </c>
      <c r="J47" s="835">
        <v>106000</v>
      </c>
      <c r="K47" s="835">
        <v>106000</v>
      </c>
      <c r="L47" s="835">
        <v>0</v>
      </c>
      <c r="M47" s="836">
        <f t="shared" si="0"/>
        <v>0</v>
      </c>
      <c r="N47" s="65"/>
      <c r="O47" s="69"/>
      <c r="P47" s="357"/>
      <c r="Q47" s="57">
        <f aca="true" t="shared" si="3" ref="Q47:Q52">J47</f>
        <v>106000</v>
      </c>
      <c r="R47" s="348"/>
      <c r="S47" s="57">
        <v>6000</v>
      </c>
      <c r="T47" s="70"/>
      <c r="U47" s="70"/>
      <c r="V47" s="70"/>
      <c r="W47" s="70"/>
    </row>
    <row r="48" spans="1:23" s="2" customFormat="1" ht="12.75" customHeight="1" hidden="1">
      <c r="A48" s="124">
        <v>1331</v>
      </c>
      <c r="B48" s="592" t="s">
        <v>254</v>
      </c>
      <c r="C48" s="576"/>
      <c r="D48" s="577"/>
      <c r="E48" s="593"/>
      <c r="F48" s="593"/>
      <c r="G48" s="577">
        <v>90000</v>
      </c>
      <c r="H48" s="577"/>
      <c r="I48" s="406">
        <v>1305</v>
      </c>
      <c r="J48" s="757"/>
      <c r="K48" s="757"/>
      <c r="L48" s="757"/>
      <c r="M48" s="801" t="e">
        <f t="shared" si="0"/>
        <v>#DIV/0!</v>
      </c>
      <c r="N48" s="65"/>
      <c r="O48" s="69"/>
      <c r="P48" s="357"/>
      <c r="Q48" s="57">
        <f t="shared" si="3"/>
        <v>0</v>
      </c>
      <c r="R48" s="348"/>
      <c r="S48" s="57"/>
      <c r="T48" s="70"/>
      <c r="U48" s="70"/>
      <c r="V48" s="70"/>
      <c r="W48" s="70"/>
    </row>
    <row r="49" spans="1:23" s="2" customFormat="1" ht="12.75" customHeight="1">
      <c r="A49" s="124">
        <v>1313</v>
      </c>
      <c r="B49" s="832" t="s">
        <v>342</v>
      </c>
      <c r="C49" s="798"/>
      <c r="D49" s="398"/>
      <c r="E49" s="404"/>
      <c r="F49" s="404"/>
      <c r="G49" s="398"/>
      <c r="H49" s="398"/>
      <c r="I49" s="398"/>
      <c r="J49" s="757">
        <v>20000</v>
      </c>
      <c r="K49" s="757">
        <v>20000</v>
      </c>
      <c r="L49" s="757">
        <v>20000</v>
      </c>
      <c r="M49" s="801">
        <f t="shared" si="0"/>
        <v>1</v>
      </c>
      <c r="N49" s="65"/>
      <c r="O49" s="69"/>
      <c r="P49" s="357"/>
      <c r="Q49" s="57">
        <f t="shared" si="3"/>
        <v>20000</v>
      </c>
      <c r="R49" s="348"/>
      <c r="S49" s="57"/>
      <c r="T49" s="70"/>
      <c r="U49" s="70"/>
      <c r="V49" s="70"/>
      <c r="W49" s="70"/>
    </row>
    <row r="50" spans="1:23" s="2" customFormat="1" ht="12.75" customHeight="1">
      <c r="A50" s="124">
        <v>1302</v>
      </c>
      <c r="B50" s="832" t="s">
        <v>344</v>
      </c>
      <c r="C50" s="798"/>
      <c r="D50" s="398"/>
      <c r="E50" s="404"/>
      <c r="F50" s="404"/>
      <c r="G50" s="398"/>
      <c r="H50" s="398"/>
      <c r="I50" s="398"/>
      <c r="J50" s="757">
        <v>10000</v>
      </c>
      <c r="K50" s="757">
        <v>10000</v>
      </c>
      <c r="L50" s="757">
        <v>10000</v>
      </c>
      <c r="M50" s="801">
        <f t="shared" si="0"/>
        <v>1</v>
      </c>
      <c r="N50" s="65"/>
      <c r="O50" s="69"/>
      <c r="P50" s="357"/>
      <c r="Q50" s="57">
        <f t="shared" si="3"/>
        <v>10000</v>
      </c>
      <c r="R50" s="348"/>
      <c r="S50" s="57"/>
      <c r="T50" s="70"/>
      <c r="U50" s="70"/>
      <c r="V50" s="70"/>
      <c r="W50" s="70"/>
    </row>
    <row r="51" spans="1:23" s="2" customFormat="1" ht="12.75" customHeight="1" hidden="1">
      <c r="A51" s="124"/>
      <c r="B51" s="530" t="s">
        <v>225</v>
      </c>
      <c r="C51" s="798"/>
      <c r="D51" s="398"/>
      <c r="E51" s="404"/>
      <c r="F51" s="404"/>
      <c r="G51" s="398"/>
      <c r="H51" s="398"/>
      <c r="I51" s="398"/>
      <c r="J51" s="757"/>
      <c r="K51" s="757"/>
      <c r="L51" s="757"/>
      <c r="M51" s="801" t="e">
        <f t="shared" si="0"/>
        <v>#DIV/0!</v>
      </c>
      <c r="N51" s="65"/>
      <c r="O51" s="69"/>
      <c r="P51" s="357"/>
      <c r="Q51" s="57">
        <f t="shared" si="3"/>
        <v>0</v>
      </c>
      <c r="R51" s="57"/>
      <c r="S51" s="57"/>
      <c r="T51" s="70"/>
      <c r="U51" s="70"/>
      <c r="V51" s="70"/>
      <c r="W51" s="70"/>
    </row>
    <row r="52" spans="1:23" s="2" customFormat="1" ht="12.75" customHeight="1" hidden="1">
      <c r="A52" s="124"/>
      <c r="B52" s="530" t="s">
        <v>226</v>
      </c>
      <c r="C52" s="798"/>
      <c r="D52" s="398"/>
      <c r="E52" s="404"/>
      <c r="F52" s="404"/>
      <c r="G52" s="398"/>
      <c r="H52" s="398"/>
      <c r="I52" s="398"/>
      <c r="J52" s="757"/>
      <c r="K52" s="757"/>
      <c r="L52" s="757"/>
      <c r="M52" s="801" t="e">
        <f t="shared" si="0"/>
        <v>#DIV/0!</v>
      </c>
      <c r="N52" s="65"/>
      <c r="O52" s="69"/>
      <c r="P52" s="357"/>
      <c r="Q52" s="57">
        <f t="shared" si="3"/>
        <v>0</v>
      </c>
      <c r="R52" s="57"/>
      <c r="S52" s="57"/>
      <c r="T52" s="70"/>
      <c r="U52" s="70"/>
      <c r="V52" s="70"/>
      <c r="W52" s="70"/>
    </row>
    <row r="53" spans="1:23" s="2" customFormat="1" ht="12.75" customHeight="1" hidden="1">
      <c r="A53" s="124"/>
      <c r="B53" s="530" t="s">
        <v>184</v>
      </c>
      <c r="C53" s="798"/>
      <c r="D53" s="398">
        <v>57000</v>
      </c>
      <c r="E53" s="404"/>
      <c r="F53" s="404"/>
      <c r="G53" s="398"/>
      <c r="H53" s="398"/>
      <c r="I53" s="398"/>
      <c r="J53" s="757">
        <v>0</v>
      </c>
      <c r="K53" s="757">
        <v>0</v>
      </c>
      <c r="L53" s="757"/>
      <c r="M53" s="801" t="e">
        <f t="shared" si="0"/>
        <v>#DIV/0!</v>
      </c>
      <c r="N53" s="65"/>
      <c r="O53" s="69"/>
      <c r="P53" s="357"/>
      <c r="Q53" s="57"/>
      <c r="R53" s="57"/>
      <c r="S53" s="57"/>
      <c r="T53" s="70"/>
      <c r="U53" s="70"/>
      <c r="V53" s="70"/>
      <c r="W53" s="70"/>
    </row>
    <row r="54" spans="1:23" s="2" customFormat="1" ht="12.75" customHeight="1" hidden="1">
      <c r="A54" s="124"/>
      <c r="B54" s="530" t="s">
        <v>185</v>
      </c>
      <c r="C54" s="798"/>
      <c r="D54" s="398">
        <v>393700</v>
      </c>
      <c r="E54" s="404"/>
      <c r="F54" s="397">
        <v>130800</v>
      </c>
      <c r="G54" s="398"/>
      <c r="H54" s="398"/>
      <c r="I54" s="398"/>
      <c r="J54" s="757"/>
      <c r="K54" s="757"/>
      <c r="L54" s="757"/>
      <c r="M54" s="801" t="e">
        <f t="shared" si="0"/>
        <v>#DIV/0!</v>
      </c>
      <c r="N54" s="65"/>
      <c r="O54" s="69"/>
      <c r="P54" s="357"/>
      <c r="Q54" s="57"/>
      <c r="R54" s="57"/>
      <c r="S54" s="57"/>
      <c r="T54" s="70"/>
      <c r="U54" s="70"/>
      <c r="V54" s="70"/>
      <c r="W54" s="70"/>
    </row>
    <row r="55" spans="1:23" s="2" customFormat="1" ht="12.75" customHeight="1" hidden="1">
      <c r="A55" s="124"/>
      <c r="B55" s="530" t="s">
        <v>318</v>
      </c>
      <c r="C55" s="798">
        <v>30262</v>
      </c>
      <c r="D55" s="398"/>
      <c r="E55" s="404">
        <f>C55</f>
        <v>30262</v>
      </c>
      <c r="F55" s="404">
        <v>13469</v>
      </c>
      <c r="G55" s="398">
        <v>37644</v>
      </c>
      <c r="H55" s="398"/>
      <c r="I55" s="398"/>
      <c r="J55" s="757"/>
      <c r="K55" s="757"/>
      <c r="L55" s="757"/>
      <c r="M55" s="801" t="e">
        <f t="shared" si="0"/>
        <v>#DIV/0!</v>
      </c>
      <c r="N55" s="65"/>
      <c r="O55" s="69"/>
      <c r="P55" s="357"/>
      <c r="Q55" s="57"/>
      <c r="R55" s="57"/>
      <c r="S55" s="57"/>
      <c r="T55" s="70"/>
      <c r="U55" s="70"/>
      <c r="V55" s="70"/>
      <c r="W55" s="70"/>
    </row>
    <row r="56" spans="1:23" s="2" customFormat="1" ht="12.75" customHeight="1" hidden="1">
      <c r="A56" s="124"/>
      <c r="B56" s="530" t="s">
        <v>189</v>
      </c>
      <c r="C56" s="799">
        <v>162594</v>
      </c>
      <c r="D56" s="398"/>
      <c r="E56" s="404">
        <f>C56</f>
        <v>162594</v>
      </c>
      <c r="F56" s="404">
        <v>158546</v>
      </c>
      <c r="G56" s="398">
        <v>677600</v>
      </c>
      <c r="H56" s="398"/>
      <c r="I56" s="398"/>
      <c r="J56" s="757"/>
      <c r="K56" s="757"/>
      <c r="L56" s="757"/>
      <c r="M56" s="801" t="e">
        <f t="shared" si="0"/>
        <v>#DIV/0!</v>
      </c>
      <c r="N56" s="65"/>
      <c r="O56" s="69"/>
      <c r="P56" s="357"/>
      <c r="Q56" s="57"/>
      <c r="R56" s="57"/>
      <c r="S56" s="57"/>
      <c r="T56" s="70"/>
      <c r="U56" s="70"/>
      <c r="V56" s="70"/>
      <c r="W56" s="70"/>
    </row>
    <row r="57" spans="1:23" s="2" customFormat="1" ht="12.75" customHeight="1">
      <c r="A57" s="124"/>
      <c r="B57" s="837" t="s">
        <v>362</v>
      </c>
      <c r="C57" s="838"/>
      <c r="D57" s="839"/>
      <c r="E57" s="840"/>
      <c r="F57" s="840"/>
      <c r="G57" s="839"/>
      <c r="H57" s="839"/>
      <c r="I57" s="839"/>
      <c r="J57" s="841">
        <v>50000</v>
      </c>
      <c r="K57" s="841">
        <v>50000</v>
      </c>
      <c r="L57" s="835">
        <v>0</v>
      </c>
      <c r="M57" s="836">
        <f t="shared" si="0"/>
        <v>0</v>
      </c>
      <c r="N57" s="65"/>
      <c r="O57" s="69"/>
      <c r="P57" s="688"/>
      <c r="Q57" s="57">
        <f>J57</f>
        <v>50000</v>
      </c>
      <c r="R57" s="57"/>
      <c r="S57" s="57"/>
      <c r="T57" s="70"/>
      <c r="U57" s="70"/>
      <c r="V57" s="70"/>
      <c r="W57" s="70"/>
    </row>
    <row r="58" spans="1:23" s="2" customFormat="1" ht="12.75" customHeight="1">
      <c r="A58" s="124"/>
      <c r="B58" s="837" t="s">
        <v>363</v>
      </c>
      <c r="C58" s="838"/>
      <c r="D58" s="839"/>
      <c r="E58" s="840"/>
      <c r="F58" s="840"/>
      <c r="G58" s="839"/>
      <c r="H58" s="839"/>
      <c r="I58" s="839"/>
      <c r="J58" s="841">
        <v>50000</v>
      </c>
      <c r="K58" s="841">
        <v>50000</v>
      </c>
      <c r="L58" s="835">
        <v>0</v>
      </c>
      <c r="M58" s="836">
        <f t="shared" si="0"/>
        <v>0</v>
      </c>
      <c r="N58" s="65"/>
      <c r="O58" s="69"/>
      <c r="P58" s="688"/>
      <c r="Q58" s="57">
        <f>J58</f>
        <v>50000</v>
      </c>
      <c r="R58" s="57"/>
      <c r="S58" s="57"/>
      <c r="T58" s="70"/>
      <c r="U58" s="70"/>
      <c r="V58" s="70"/>
      <c r="W58" s="70"/>
    </row>
    <row r="59" spans="1:23" s="2" customFormat="1" ht="12.75" customHeight="1">
      <c r="A59" s="124"/>
      <c r="B59" s="748" t="s">
        <v>410</v>
      </c>
      <c r="C59" s="690"/>
      <c r="D59" s="692"/>
      <c r="E59" s="693"/>
      <c r="F59" s="693"/>
      <c r="G59" s="692"/>
      <c r="H59" s="692"/>
      <c r="I59" s="692"/>
      <c r="J59" s="760"/>
      <c r="K59" s="796">
        <v>260000</v>
      </c>
      <c r="L59" s="757">
        <v>0</v>
      </c>
      <c r="M59" s="801">
        <f t="shared" si="0"/>
        <v>0</v>
      </c>
      <c r="N59" s="65"/>
      <c r="O59" s="69"/>
      <c r="P59" s="688"/>
      <c r="Q59" s="57"/>
      <c r="R59" s="57"/>
      <c r="S59" s="57"/>
      <c r="T59" s="70"/>
      <c r="U59" s="70"/>
      <c r="V59" s="70"/>
      <c r="W59" s="70"/>
    </row>
    <row r="60" spans="1:23" s="2" customFormat="1" ht="12.75" customHeight="1" thickBot="1">
      <c r="A60" s="124"/>
      <c r="B60" s="536" t="s">
        <v>157</v>
      </c>
      <c r="C60" s="432">
        <v>727935</v>
      </c>
      <c r="D60" s="408">
        <v>710944</v>
      </c>
      <c r="E60" s="407">
        <f>C60</f>
        <v>727935</v>
      </c>
      <c r="F60" s="407">
        <v>680479</v>
      </c>
      <c r="G60" s="408">
        <v>749468</v>
      </c>
      <c r="H60" s="408">
        <v>293555</v>
      </c>
      <c r="I60" s="408">
        <v>342069</v>
      </c>
      <c r="J60" s="761">
        <f>830651-J129-46000</f>
        <v>759885</v>
      </c>
      <c r="K60" s="761">
        <v>759885</v>
      </c>
      <c r="L60" s="761">
        <v>251598</v>
      </c>
      <c r="M60" s="801">
        <f t="shared" si="0"/>
        <v>0.3311001006731282</v>
      </c>
      <c r="N60" s="81"/>
      <c r="O60" s="69"/>
      <c r="P60" s="359"/>
      <c r="Q60" s="57"/>
      <c r="R60" s="57"/>
      <c r="S60" s="57"/>
      <c r="T60" s="70"/>
      <c r="U60" s="70"/>
      <c r="V60" s="70"/>
      <c r="W60" s="70"/>
    </row>
    <row r="61" spans="1:19" s="11" customFormat="1" ht="14.25" thickBot="1">
      <c r="A61" s="124"/>
      <c r="B61" s="434" t="s">
        <v>2</v>
      </c>
      <c r="C61" s="433">
        <f aca="true" t="shared" si="4" ref="C61:J61">SUM(C7:C60)</f>
        <v>12493975</v>
      </c>
      <c r="D61" s="360">
        <f t="shared" si="4"/>
        <v>12469547</v>
      </c>
      <c r="E61" s="44">
        <f t="shared" si="4"/>
        <v>12888766</v>
      </c>
      <c r="F61" s="44">
        <f t="shared" si="4"/>
        <v>12963019</v>
      </c>
      <c r="G61" s="360">
        <f t="shared" si="4"/>
        <v>13719257</v>
      </c>
      <c r="H61" s="360">
        <f t="shared" si="4"/>
        <v>5235784</v>
      </c>
      <c r="I61" s="360">
        <f t="shared" si="4"/>
        <v>6245701</v>
      </c>
      <c r="J61" s="762">
        <f t="shared" si="4"/>
        <v>14081624</v>
      </c>
      <c r="K61" s="762">
        <f>SUM(K7:K60)</f>
        <v>14591624</v>
      </c>
      <c r="L61" s="762">
        <f>SUM(L7:L60)</f>
        <v>4586645</v>
      </c>
      <c r="M61" s="762"/>
      <c r="N61" s="82"/>
      <c r="O61" s="83"/>
      <c r="P61" s="124"/>
      <c r="Q61" s="695">
        <f>SUM(Q12:Q60)</f>
        <v>2978500</v>
      </c>
      <c r="R61" s="7"/>
      <c r="S61" s="695">
        <f>SUM(S12:S60)</f>
        <v>471500</v>
      </c>
    </row>
    <row r="62" spans="1:22" ht="15.75" thickBot="1">
      <c r="A62" s="347"/>
      <c r="B62" s="361"/>
      <c r="C62" s="13"/>
      <c r="D62" s="362"/>
      <c r="E62" s="22"/>
      <c r="F62" s="22"/>
      <c r="G62" s="362"/>
      <c r="H62" s="362"/>
      <c r="I62" s="362"/>
      <c r="J62" s="619"/>
      <c r="K62" s="763"/>
      <c r="L62" s="764"/>
      <c r="M62" s="765"/>
      <c r="N62" s="65"/>
      <c r="O62" s="33"/>
      <c r="Q62" s="7"/>
      <c r="R62" s="7"/>
      <c r="S62" s="7"/>
      <c r="T62" s="10"/>
      <c r="U62" s="10"/>
      <c r="V62" s="10"/>
    </row>
    <row r="63" spans="2:22" ht="15.75" thickBot="1">
      <c r="B63" s="363" t="s">
        <v>3</v>
      </c>
      <c r="C63" s="14"/>
      <c r="D63" s="362"/>
      <c r="E63" s="22"/>
      <c r="F63" s="22"/>
      <c r="G63" s="362"/>
      <c r="H63" s="362"/>
      <c r="I63" s="362"/>
      <c r="J63" s="619"/>
      <c r="K63" s="13"/>
      <c r="L63" s="764"/>
      <c r="M63" s="765"/>
      <c r="N63" s="65"/>
      <c r="O63" s="33"/>
      <c r="Q63" s="7"/>
      <c r="R63" s="7"/>
      <c r="S63" s="7"/>
      <c r="T63" s="10"/>
      <c r="U63" s="5"/>
      <c r="V63" s="10"/>
    </row>
    <row r="64" spans="1:22" s="2" customFormat="1" ht="12.75" customHeight="1">
      <c r="A64" s="124"/>
      <c r="B64" s="525" t="s">
        <v>11</v>
      </c>
      <c r="C64" s="444">
        <v>2500000</v>
      </c>
      <c r="D64" s="437">
        <v>2882256</v>
      </c>
      <c r="E64" s="436">
        <f>C64</f>
        <v>2500000</v>
      </c>
      <c r="F64" s="436">
        <v>2548002</v>
      </c>
      <c r="G64" s="437">
        <v>2680000</v>
      </c>
      <c r="H64" s="437">
        <v>1524300</v>
      </c>
      <c r="I64" s="437">
        <v>1695100</v>
      </c>
      <c r="J64" s="766">
        <v>2948000</v>
      </c>
      <c r="K64" s="766">
        <v>2948000</v>
      </c>
      <c r="L64" s="766">
        <v>1306250</v>
      </c>
      <c r="M64" s="806">
        <f>L64/K64</f>
        <v>0.4430970149253731</v>
      </c>
      <c r="N64" s="65"/>
      <c r="O64" s="69"/>
      <c r="P64" s="356"/>
      <c r="Q64" s="57"/>
      <c r="R64" s="16"/>
      <c r="S64" s="57"/>
      <c r="T64" s="69"/>
      <c r="U64" s="69"/>
      <c r="V64" s="69"/>
    </row>
    <row r="65" spans="1:22" s="2" customFormat="1" ht="12.75" customHeight="1" hidden="1">
      <c r="A65" s="124"/>
      <c r="B65" s="526" t="s">
        <v>227</v>
      </c>
      <c r="C65" s="426"/>
      <c r="D65" s="411"/>
      <c r="E65" s="496"/>
      <c r="F65" s="496"/>
      <c r="G65" s="411"/>
      <c r="H65" s="411"/>
      <c r="I65" s="411"/>
      <c r="J65" s="754"/>
      <c r="K65" s="754"/>
      <c r="L65" s="754"/>
      <c r="M65" s="754"/>
      <c r="N65" s="65"/>
      <c r="O65" s="69"/>
      <c r="P65" s="414"/>
      <c r="Q65" s="57"/>
      <c r="R65" s="16"/>
      <c r="S65" s="57"/>
      <c r="T65" s="69"/>
      <c r="U65" s="69"/>
      <c r="V65" s="69"/>
    </row>
    <row r="66" spans="1:22" s="2" customFormat="1" ht="12.75" customHeight="1" hidden="1">
      <c r="A66" s="124"/>
      <c r="B66" s="527" t="s">
        <v>190</v>
      </c>
      <c r="C66" s="427">
        <v>162594</v>
      </c>
      <c r="D66" s="398"/>
      <c r="E66" s="439">
        <f>C66</f>
        <v>162594</v>
      </c>
      <c r="F66" s="439">
        <v>158546</v>
      </c>
      <c r="G66" s="398">
        <v>677600</v>
      </c>
      <c r="H66" s="398"/>
      <c r="I66" s="406"/>
      <c r="J66" s="757">
        <v>0</v>
      </c>
      <c r="K66" s="757">
        <v>0</v>
      </c>
      <c r="L66" s="757"/>
      <c r="M66" s="757"/>
      <c r="N66" s="65"/>
      <c r="O66" s="69"/>
      <c r="P66" s="357"/>
      <c r="Q66" s="57"/>
      <c r="R66" s="16"/>
      <c r="S66" s="57"/>
      <c r="T66" s="69"/>
      <c r="U66" s="69"/>
      <c r="V66" s="69"/>
    </row>
    <row r="67" spans="1:22" s="2" customFormat="1" ht="12.75" customHeight="1" hidden="1">
      <c r="A67" s="124"/>
      <c r="B67" s="527" t="s">
        <v>192</v>
      </c>
      <c r="C67" s="430">
        <v>30262</v>
      </c>
      <c r="D67" s="398"/>
      <c r="E67" s="439">
        <f>C67</f>
        <v>30262</v>
      </c>
      <c r="F67" s="439">
        <v>0</v>
      </c>
      <c r="G67" s="398">
        <v>37644</v>
      </c>
      <c r="H67" s="398"/>
      <c r="I67" s="406"/>
      <c r="J67" s="757">
        <v>0</v>
      </c>
      <c r="K67" s="757">
        <v>0</v>
      </c>
      <c r="L67" s="757"/>
      <c r="M67" s="757"/>
      <c r="N67" s="65"/>
      <c r="O67" s="69"/>
      <c r="P67" s="357"/>
      <c r="Q67" s="57"/>
      <c r="R67" s="16"/>
      <c r="S67" s="57"/>
      <c r="T67" s="69"/>
      <c r="U67" s="69"/>
      <c r="V67" s="69"/>
    </row>
    <row r="68" spans="1:22" s="2" customFormat="1" ht="12.75" customHeight="1">
      <c r="A68" s="124"/>
      <c r="B68" s="527" t="s">
        <v>12</v>
      </c>
      <c r="C68" s="427">
        <v>20000</v>
      </c>
      <c r="D68" s="398">
        <v>2635</v>
      </c>
      <c r="E68" s="439">
        <f>C68</f>
        <v>20000</v>
      </c>
      <c r="F68" s="439">
        <v>18863</v>
      </c>
      <c r="G68" s="398">
        <v>21000</v>
      </c>
      <c r="H68" s="398">
        <v>16</v>
      </c>
      <c r="I68" s="398"/>
      <c r="J68" s="757">
        <v>23100</v>
      </c>
      <c r="K68" s="757">
        <v>23100</v>
      </c>
      <c r="L68" s="757">
        <v>54</v>
      </c>
      <c r="M68" s="801">
        <f>L68/K68</f>
        <v>0.0023376623376623377</v>
      </c>
      <c r="N68" s="65"/>
      <c r="O68" s="69"/>
      <c r="P68" s="357"/>
      <c r="Q68" s="57"/>
      <c r="R68" s="16" t="s">
        <v>263</v>
      </c>
      <c r="S68" s="57"/>
      <c r="T68" s="69"/>
      <c r="U68" s="69"/>
      <c r="V68" s="69"/>
    </row>
    <row r="69" spans="1:22" s="2" customFormat="1" ht="12.75" customHeight="1">
      <c r="A69" s="124"/>
      <c r="B69" s="541" t="s">
        <v>4</v>
      </c>
      <c r="C69" s="542">
        <v>7365189</v>
      </c>
      <c r="D69" s="543">
        <v>6381243</v>
      </c>
      <c r="E69" s="544">
        <v>7425365</v>
      </c>
      <c r="F69" s="544">
        <v>7425365</v>
      </c>
      <c r="G69" s="543">
        <v>7742513</v>
      </c>
      <c r="H69" s="543">
        <v>3185395</v>
      </c>
      <c r="I69" s="543">
        <v>3822474</v>
      </c>
      <c r="J69" s="767">
        <v>8750524</v>
      </c>
      <c r="K69" s="767">
        <v>8750524</v>
      </c>
      <c r="L69" s="767">
        <v>3246500</v>
      </c>
      <c r="M69" s="807">
        <f>L69/K69</f>
        <v>0.37100635344809063</v>
      </c>
      <c r="N69" s="65"/>
      <c r="O69" s="69"/>
      <c r="P69" s="357"/>
      <c r="Q69" s="57"/>
      <c r="R69" s="16"/>
      <c r="S69" s="57"/>
      <c r="T69" s="69"/>
      <c r="U69" s="69"/>
      <c r="V69" s="5"/>
    </row>
    <row r="70" spans="1:22" s="2" customFormat="1" ht="12.75" customHeight="1">
      <c r="A70" s="124"/>
      <c r="B70" s="580" t="s">
        <v>266</v>
      </c>
      <c r="C70" s="581">
        <v>950000</v>
      </c>
      <c r="D70" s="582">
        <v>950000</v>
      </c>
      <c r="E70" s="583">
        <f>C70</f>
        <v>950000</v>
      </c>
      <c r="F70" s="583">
        <v>950000</v>
      </c>
      <c r="G70" s="582">
        <v>950000</v>
      </c>
      <c r="H70" s="582">
        <v>0</v>
      </c>
      <c r="I70" s="582"/>
      <c r="J70" s="768">
        <f>950000+140000</f>
        <v>1090000</v>
      </c>
      <c r="K70" s="768">
        <f>950000+140000</f>
        <v>1090000</v>
      </c>
      <c r="L70" s="768">
        <v>90000</v>
      </c>
      <c r="M70" s="808">
        <f aca="true" t="shared" si="5" ref="M70:M111">L70/K70</f>
        <v>0.08256880733944955</v>
      </c>
      <c r="N70" s="65"/>
      <c r="O70" s="69"/>
      <c r="P70" s="357"/>
      <c r="Q70" s="57"/>
      <c r="R70" s="16">
        <f>J70</f>
        <v>1090000</v>
      </c>
      <c r="S70" s="57"/>
      <c r="T70" s="69"/>
      <c r="U70" s="69"/>
      <c r="V70" s="69"/>
    </row>
    <row r="71" spans="1:22" s="2" customFormat="1" ht="12.75" customHeight="1" hidden="1">
      <c r="A71" s="124"/>
      <c r="B71" s="579" t="s">
        <v>311</v>
      </c>
      <c r="C71" s="576"/>
      <c r="D71" s="620"/>
      <c r="E71" s="578">
        <v>130000</v>
      </c>
      <c r="F71" s="578">
        <v>130000</v>
      </c>
      <c r="G71" s="620"/>
      <c r="H71" s="620"/>
      <c r="I71" s="620"/>
      <c r="J71" s="769"/>
      <c r="K71" s="769"/>
      <c r="L71" s="769"/>
      <c r="M71" s="808" t="e">
        <f t="shared" si="5"/>
        <v>#DIV/0!</v>
      </c>
      <c r="N71" s="65"/>
      <c r="O71" s="69"/>
      <c r="P71" s="357"/>
      <c r="Q71" s="57"/>
      <c r="S71" s="57"/>
      <c r="T71" s="69"/>
      <c r="U71" s="69"/>
      <c r="V71" s="69"/>
    </row>
    <row r="72" spans="1:22" s="2" customFormat="1" ht="12.75" customHeight="1" hidden="1">
      <c r="A72" s="124"/>
      <c r="B72" s="579" t="s">
        <v>309</v>
      </c>
      <c r="C72" s="576"/>
      <c r="D72" s="620"/>
      <c r="E72" s="578">
        <v>30000</v>
      </c>
      <c r="F72" s="578">
        <v>30000</v>
      </c>
      <c r="G72" s="620">
        <v>50000</v>
      </c>
      <c r="H72" s="620">
        <v>50000</v>
      </c>
      <c r="I72" s="620"/>
      <c r="J72" s="769"/>
      <c r="K72" s="769"/>
      <c r="L72" s="769"/>
      <c r="M72" s="808" t="e">
        <f t="shared" si="5"/>
        <v>#DIV/0!</v>
      </c>
      <c r="N72" s="65"/>
      <c r="O72" s="69"/>
      <c r="P72" s="357"/>
      <c r="Q72" s="57"/>
      <c r="R72" s="16"/>
      <c r="S72" s="57"/>
      <c r="T72" s="69"/>
      <c r="U72" s="69"/>
      <c r="V72" s="69"/>
    </row>
    <row r="73" spans="1:22" s="2" customFormat="1" ht="12.75" customHeight="1" hidden="1">
      <c r="A73" s="124"/>
      <c r="B73" s="579" t="s">
        <v>360</v>
      </c>
      <c r="C73" s="576"/>
      <c r="D73" s="620"/>
      <c r="E73" s="578"/>
      <c r="F73" s="578"/>
      <c r="G73" s="620"/>
      <c r="H73" s="620"/>
      <c r="I73" s="620">
        <v>50000</v>
      </c>
      <c r="J73" s="769"/>
      <c r="K73" s="769"/>
      <c r="L73" s="769"/>
      <c r="M73" s="808" t="e">
        <f t="shared" si="5"/>
        <v>#DIV/0!</v>
      </c>
      <c r="N73" s="65"/>
      <c r="O73" s="69"/>
      <c r="P73" s="357"/>
      <c r="Q73" s="57"/>
      <c r="R73" s="16"/>
      <c r="S73" s="57"/>
      <c r="T73" s="69"/>
      <c r="U73" s="69"/>
      <c r="V73" s="69"/>
    </row>
    <row r="74" spans="1:22" s="2" customFormat="1" ht="12.75" customHeight="1">
      <c r="A74" s="124"/>
      <c r="B74" s="850" t="s">
        <v>423</v>
      </c>
      <c r="C74" s="576"/>
      <c r="D74" s="854"/>
      <c r="E74" s="855"/>
      <c r="F74" s="855"/>
      <c r="G74" s="854"/>
      <c r="H74" s="854"/>
      <c r="I74" s="854"/>
      <c r="J74" s="856"/>
      <c r="K74" s="856">
        <v>200000</v>
      </c>
      <c r="L74" s="769"/>
      <c r="M74" s="808"/>
      <c r="N74" s="65"/>
      <c r="O74" s="69"/>
      <c r="P74" s="357"/>
      <c r="Q74" s="57"/>
      <c r="R74" s="16"/>
      <c r="S74" s="57"/>
      <c r="T74" s="69"/>
      <c r="U74" s="69"/>
      <c r="V74" s="69"/>
    </row>
    <row r="75" spans="1:22" s="2" customFormat="1" ht="12.75" customHeight="1">
      <c r="A75" s="124"/>
      <c r="B75" s="850" t="s">
        <v>425</v>
      </c>
      <c r="C75" s="429"/>
      <c r="D75" s="851"/>
      <c r="E75" s="852"/>
      <c r="F75" s="852"/>
      <c r="G75" s="851"/>
      <c r="H75" s="851"/>
      <c r="I75" s="851"/>
      <c r="J75" s="853"/>
      <c r="K75" s="853">
        <v>50000</v>
      </c>
      <c r="L75" s="769"/>
      <c r="M75" s="808"/>
      <c r="N75" s="65"/>
      <c r="O75" s="69"/>
      <c r="P75" s="357"/>
      <c r="Q75" s="57"/>
      <c r="R75" s="16"/>
      <c r="S75" s="57"/>
      <c r="T75" s="69"/>
      <c r="U75" s="69"/>
      <c r="V75" s="69"/>
    </row>
    <row r="76" spans="1:22" s="2" customFormat="1" ht="12.75" customHeight="1">
      <c r="A76" s="124"/>
      <c r="B76" s="584" t="s">
        <v>324</v>
      </c>
      <c r="C76" s="581"/>
      <c r="D76" s="582"/>
      <c r="E76" s="583"/>
      <c r="F76" s="583"/>
      <c r="G76" s="582">
        <v>50000</v>
      </c>
      <c r="H76" s="582"/>
      <c r="I76" s="582">
        <v>9000</v>
      </c>
      <c r="J76" s="768">
        <v>50000</v>
      </c>
      <c r="K76" s="768">
        <v>50000</v>
      </c>
      <c r="L76" s="768">
        <v>0</v>
      </c>
      <c r="M76" s="808">
        <f t="shared" si="5"/>
        <v>0</v>
      </c>
      <c r="N76" s="65"/>
      <c r="O76" s="69"/>
      <c r="P76" s="357"/>
      <c r="Q76" s="57"/>
      <c r="R76" s="16">
        <f>J76</f>
        <v>50000</v>
      </c>
      <c r="S76" s="57"/>
      <c r="T76" s="69"/>
      <c r="U76" s="69"/>
      <c r="V76" s="69"/>
    </row>
    <row r="77" spans="1:22" s="2" customFormat="1" ht="12.75" customHeight="1" hidden="1">
      <c r="A77" s="124"/>
      <c r="B77" s="585" t="s">
        <v>267</v>
      </c>
      <c r="C77" s="586">
        <v>402930</v>
      </c>
      <c r="D77" s="565">
        <v>340000</v>
      </c>
      <c r="E77" s="566">
        <v>510154</v>
      </c>
      <c r="F77" s="566">
        <v>510154</v>
      </c>
      <c r="G77" s="399"/>
      <c r="H77" s="399"/>
      <c r="I77" s="622"/>
      <c r="J77" s="770">
        <v>0</v>
      </c>
      <c r="K77" s="770">
        <v>0</v>
      </c>
      <c r="L77" s="770"/>
      <c r="M77" s="808" t="e">
        <f t="shared" si="5"/>
        <v>#DIV/0!</v>
      </c>
      <c r="N77" s="65"/>
      <c r="O77" s="69"/>
      <c r="P77" s="357"/>
      <c r="Q77" s="57"/>
      <c r="R77" s="16"/>
      <c r="S77" s="57"/>
      <c r="T77" s="69"/>
      <c r="U77" s="69"/>
      <c r="V77" s="69"/>
    </row>
    <row r="78" spans="1:22" s="2" customFormat="1" ht="12.75" customHeight="1" hidden="1">
      <c r="A78" s="124"/>
      <c r="B78" s="585" t="s">
        <v>296</v>
      </c>
      <c r="C78" s="586"/>
      <c r="D78" s="565">
        <v>55000</v>
      </c>
      <c r="E78" s="439"/>
      <c r="F78" s="439"/>
      <c r="G78" s="399"/>
      <c r="H78" s="399"/>
      <c r="I78" s="399"/>
      <c r="J78" s="770"/>
      <c r="K78" s="770"/>
      <c r="L78" s="770"/>
      <c r="M78" s="808" t="e">
        <f t="shared" si="5"/>
        <v>#DIV/0!</v>
      </c>
      <c r="N78" s="65"/>
      <c r="O78" s="69"/>
      <c r="P78" s="357"/>
      <c r="Q78" s="57"/>
      <c r="R78" s="16"/>
      <c r="S78" s="57"/>
      <c r="T78" s="69"/>
      <c r="U78" s="69"/>
      <c r="V78" s="69"/>
    </row>
    <row r="79" spans="1:19" s="2" customFormat="1" ht="12.75" customHeight="1">
      <c r="A79" s="124"/>
      <c r="B79" s="588" t="s">
        <v>325</v>
      </c>
      <c r="C79" s="567">
        <v>30000</v>
      </c>
      <c r="D79" s="565">
        <v>42000</v>
      </c>
      <c r="E79" s="566">
        <f>C79</f>
        <v>30000</v>
      </c>
      <c r="F79" s="566">
        <v>30000</v>
      </c>
      <c r="G79" s="565">
        <v>30000</v>
      </c>
      <c r="H79" s="565"/>
      <c r="I79" s="565"/>
      <c r="J79" s="771">
        <v>30000</v>
      </c>
      <c r="K79" s="771">
        <v>30000</v>
      </c>
      <c r="L79" s="771">
        <v>0</v>
      </c>
      <c r="M79" s="808">
        <f t="shared" si="5"/>
        <v>0</v>
      </c>
      <c r="N79" s="65"/>
      <c r="O79" s="69"/>
      <c r="P79" s="357"/>
      <c r="Q79" s="57"/>
      <c r="R79" s="16">
        <f aca="true" t="shared" si="6" ref="R79:R110">J79</f>
        <v>30000</v>
      </c>
      <c r="S79" s="57"/>
    </row>
    <row r="80" spans="1:19" s="2" customFormat="1" ht="12.75" customHeight="1" hidden="1">
      <c r="A80" s="124"/>
      <c r="B80" s="588" t="s">
        <v>295</v>
      </c>
      <c r="C80" s="567"/>
      <c r="D80" s="565">
        <v>30000</v>
      </c>
      <c r="E80" s="439"/>
      <c r="F80" s="439"/>
      <c r="G80" s="399"/>
      <c r="H80" s="399"/>
      <c r="I80" s="399"/>
      <c r="J80" s="770"/>
      <c r="K80" s="770"/>
      <c r="L80" s="770"/>
      <c r="M80" s="808" t="e">
        <f t="shared" si="5"/>
        <v>#DIV/0!</v>
      </c>
      <c r="N80" s="65"/>
      <c r="O80" s="69"/>
      <c r="P80" s="357"/>
      <c r="Q80" s="57"/>
      <c r="R80" s="16"/>
      <c r="S80" s="57"/>
    </row>
    <row r="81" spans="1:19" s="2" customFormat="1" ht="12.75" customHeight="1">
      <c r="A81" s="124"/>
      <c r="B81" s="589" t="s">
        <v>351</v>
      </c>
      <c r="C81" s="586">
        <v>40000</v>
      </c>
      <c r="D81" s="565">
        <v>40000</v>
      </c>
      <c r="E81" s="566">
        <f>C81</f>
        <v>40000</v>
      </c>
      <c r="F81" s="566">
        <v>40000</v>
      </c>
      <c r="G81" s="565">
        <v>60000</v>
      </c>
      <c r="H81" s="565"/>
      <c r="I81" s="565">
        <v>12000</v>
      </c>
      <c r="J81" s="771">
        <f>60000-30000</f>
        <v>30000</v>
      </c>
      <c r="K81" s="771">
        <f>60000-30000</f>
        <v>30000</v>
      </c>
      <c r="L81" s="771">
        <v>0</v>
      </c>
      <c r="M81" s="808">
        <f t="shared" si="5"/>
        <v>0</v>
      </c>
      <c r="N81" s="65"/>
      <c r="O81" s="69"/>
      <c r="P81" s="357"/>
      <c r="Q81" s="57"/>
      <c r="R81" s="16">
        <f t="shared" si="6"/>
        <v>30000</v>
      </c>
      <c r="S81" s="57"/>
    </row>
    <row r="82" spans="1:19" s="2" customFormat="1" ht="12.75" customHeight="1">
      <c r="A82" s="124"/>
      <c r="B82" s="590" t="s">
        <v>265</v>
      </c>
      <c r="C82" s="586">
        <v>40000</v>
      </c>
      <c r="D82" s="565">
        <v>40000</v>
      </c>
      <c r="E82" s="566">
        <v>10155</v>
      </c>
      <c r="F82" s="566">
        <v>10155</v>
      </c>
      <c r="G82" s="565">
        <v>25000</v>
      </c>
      <c r="H82" s="565"/>
      <c r="I82" s="565"/>
      <c r="J82" s="771">
        <v>10000</v>
      </c>
      <c r="K82" s="771">
        <v>10000</v>
      </c>
      <c r="L82" s="771">
        <v>10000</v>
      </c>
      <c r="M82" s="808">
        <f t="shared" si="5"/>
        <v>1</v>
      </c>
      <c r="N82" s="65"/>
      <c r="O82" s="69"/>
      <c r="P82" s="357"/>
      <c r="Q82" s="57"/>
      <c r="R82" s="16">
        <f t="shared" si="6"/>
        <v>10000</v>
      </c>
      <c r="S82" s="57"/>
    </row>
    <row r="83" spans="1:19" s="2" customFormat="1" ht="12.75" customHeight="1">
      <c r="A83" s="124"/>
      <c r="B83" s="590" t="s">
        <v>270</v>
      </c>
      <c r="C83" s="586">
        <v>120000</v>
      </c>
      <c r="D83" s="565">
        <v>135000</v>
      </c>
      <c r="E83" s="566">
        <v>114932</v>
      </c>
      <c r="F83" s="566">
        <v>114932</v>
      </c>
      <c r="G83" s="565">
        <v>130000</v>
      </c>
      <c r="H83" s="565"/>
      <c r="I83" s="565"/>
      <c r="J83" s="771">
        <v>130000</v>
      </c>
      <c r="K83" s="771">
        <v>130000</v>
      </c>
      <c r="L83" s="771">
        <v>0</v>
      </c>
      <c r="M83" s="808">
        <f t="shared" si="5"/>
        <v>0</v>
      </c>
      <c r="N83" s="65"/>
      <c r="O83" s="69"/>
      <c r="P83" s="357"/>
      <c r="Q83" s="57"/>
      <c r="R83" s="16">
        <f t="shared" si="6"/>
        <v>130000</v>
      </c>
      <c r="S83" s="57"/>
    </row>
    <row r="84" spans="1:19" s="2" customFormat="1" ht="12.75" customHeight="1">
      <c r="A84" s="124"/>
      <c r="B84" s="590" t="s">
        <v>271</v>
      </c>
      <c r="C84" s="586">
        <v>60000</v>
      </c>
      <c r="D84" s="565">
        <v>60000</v>
      </c>
      <c r="E84" s="566">
        <v>20796</v>
      </c>
      <c r="F84" s="566">
        <v>20796</v>
      </c>
      <c r="G84" s="565">
        <v>30000</v>
      </c>
      <c r="H84" s="565">
        <v>25000</v>
      </c>
      <c r="I84" s="565">
        <v>25000</v>
      </c>
      <c r="J84" s="771">
        <v>30000</v>
      </c>
      <c r="K84" s="771">
        <v>30000</v>
      </c>
      <c r="L84" s="771">
        <v>30000</v>
      </c>
      <c r="M84" s="808">
        <f t="shared" si="5"/>
        <v>1</v>
      </c>
      <c r="N84" s="65"/>
      <c r="O84" s="69"/>
      <c r="P84" s="357"/>
      <c r="Q84" s="57"/>
      <c r="R84" s="16">
        <f t="shared" si="6"/>
        <v>30000</v>
      </c>
      <c r="S84" s="57"/>
    </row>
    <row r="85" spans="1:19" s="2" customFormat="1" ht="12.75" customHeight="1" hidden="1">
      <c r="A85" s="124"/>
      <c r="B85" s="590" t="s">
        <v>297</v>
      </c>
      <c r="C85" s="586"/>
      <c r="D85" s="565">
        <v>20000</v>
      </c>
      <c r="E85" s="439"/>
      <c r="F85" s="439"/>
      <c r="G85" s="399"/>
      <c r="H85" s="399"/>
      <c r="I85" s="399"/>
      <c r="J85" s="770"/>
      <c r="K85" s="770"/>
      <c r="L85" s="770"/>
      <c r="M85" s="808" t="e">
        <f t="shared" si="5"/>
        <v>#DIV/0!</v>
      </c>
      <c r="N85" s="65"/>
      <c r="O85" s="69"/>
      <c r="P85" s="357"/>
      <c r="Q85" s="57"/>
      <c r="R85" s="16"/>
      <c r="S85" s="57"/>
    </row>
    <row r="86" spans="1:19" s="2" customFormat="1" ht="12.75" customHeight="1">
      <c r="A86" s="124"/>
      <c r="B86" s="590" t="s">
        <v>272</v>
      </c>
      <c r="C86" s="586">
        <v>15000</v>
      </c>
      <c r="D86" s="565">
        <v>15000</v>
      </c>
      <c r="E86" s="566">
        <v>14881</v>
      </c>
      <c r="F86" s="566">
        <v>14881</v>
      </c>
      <c r="G86" s="565">
        <v>15000</v>
      </c>
      <c r="H86" s="565"/>
      <c r="I86" s="565"/>
      <c r="J86" s="771">
        <v>15000</v>
      </c>
      <c r="K86" s="771">
        <v>15000</v>
      </c>
      <c r="L86" s="771">
        <v>0</v>
      </c>
      <c r="M86" s="808">
        <f t="shared" si="5"/>
        <v>0</v>
      </c>
      <c r="N86" s="65"/>
      <c r="O86" s="69"/>
      <c r="P86" s="357"/>
      <c r="Q86" s="57"/>
      <c r="R86" s="16">
        <f t="shared" si="6"/>
        <v>15000</v>
      </c>
      <c r="S86" s="57"/>
    </row>
    <row r="87" spans="1:19" s="2" customFormat="1" ht="12.75" customHeight="1" hidden="1">
      <c r="A87" s="124"/>
      <c r="B87" s="590" t="s">
        <v>273</v>
      </c>
      <c r="C87" s="586"/>
      <c r="D87" s="565">
        <v>45000</v>
      </c>
      <c r="E87" s="439"/>
      <c r="F87" s="439"/>
      <c r="G87" s="399"/>
      <c r="H87" s="399"/>
      <c r="I87" s="399"/>
      <c r="J87" s="770"/>
      <c r="K87" s="770"/>
      <c r="L87" s="770"/>
      <c r="M87" s="808" t="e">
        <f t="shared" si="5"/>
        <v>#DIV/0!</v>
      </c>
      <c r="N87" s="65"/>
      <c r="O87" s="69"/>
      <c r="P87" s="357"/>
      <c r="Q87" s="57"/>
      <c r="R87" s="16"/>
      <c r="S87" s="57"/>
    </row>
    <row r="88" spans="1:19" s="2" customFormat="1" ht="12.75" customHeight="1">
      <c r="A88" s="124"/>
      <c r="B88" s="590" t="s">
        <v>274</v>
      </c>
      <c r="C88" s="586">
        <v>50000</v>
      </c>
      <c r="D88" s="565">
        <v>20000</v>
      </c>
      <c r="E88" s="566">
        <v>7767</v>
      </c>
      <c r="F88" s="566">
        <v>7767</v>
      </c>
      <c r="G88" s="565">
        <v>20000</v>
      </c>
      <c r="H88" s="565"/>
      <c r="I88" s="565"/>
      <c r="J88" s="771">
        <v>20000</v>
      </c>
      <c r="K88" s="771">
        <v>20000</v>
      </c>
      <c r="L88" s="771">
        <v>0</v>
      </c>
      <c r="M88" s="808">
        <f t="shared" si="5"/>
        <v>0</v>
      </c>
      <c r="N88" s="65"/>
      <c r="O88" s="69"/>
      <c r="P88" s="357"/>
      <c r="Q88" s="57"/>
      <c r="R88" s="16">
        <f t="shared" si="6"/>
        <v>20000</v>
      </c>
      <c r="S88" s="57"/>
    </row>
    <row r="89" spans="1:19" s="2" customFormat="1" ht="12.75" customHeight="1">
      <c r="A89" s="124"/>
      <c r="B89" s="590" t="s">
        <v>275</v>
      </c>
      <c r="C89" s="581">
        <v>30000</v>
      </c>
      <c r="D89" s="582">
        <v>30000</v>
      </c>
      <c r="E89" s="583">
        <f>C89</f>
        <v>30000</v>
      </c>
      <c r="F89" s="583">
        <v>30000</v>
      </c>
      <c r="G89" s="582">
        <v>20000</v>
      </c>
      <c r="H89" s="582">
        <v>10000</v>
      </c>
      <c r="I89" s="565">
        <v>10000</v>
      </c>
      <c r="J89" s="771">
        <v>20000</v>
      </c>
      <c r="K89" s="771">
        <v>20000</v>
      </c>
      <c r="L89" s="771">
        <v>20000</v>
      </c>
      <c r="M89" s="808">
        <f t="shared" si="5"/>
        <v>1</v>
      </c>
      <c r="N89" s="65"/>
      <c r="O89" s="69"/>
      <c r="P89" s="357"/>
      <c r="Q89" s="57"/>
      <c r="R89" s="16">
        <f t="shared" si="6"/>
        <v>20000</v>
      </c>
      <c r="S89" s="57"/>
    </row>
    <row r="90" spans="1:19" s="2" customFormat="1" ht="12.75" customHeight="1">
      <c r="A90" s="124"/>
      <c r="B90" s="590" t="s">
        <v>276</v>
      </c>
      <c r="C90" s="581">
        <v>80000</v>
      </c>
      <c r="D90" s="582">
        <v>75000</v>
      </c>
      <c r="E90" s="583">
        <v>184524</v>
      </c>
      <c r="F90" s="583">
        <v>184524</v>
      </c>
      <c r="G90" s="582">
        <v>280000</v>
      </c>
      <c r="H90" s="582">
        <v>140000</v>
      </c>
      <c r="I90" s="565">
        <v>280000</v>
      </c>
      <c r="J90" s="771">
        <v>180000</v>
      </c>
      <c r="K90" s="771">
        <v>180000</v>
      </c>
      <c r="L90" s="771">
        <v>0</v>
      </c>
      <c r="M90" s="808">
        <f t="shared" si="5"/>
        <v>0</v>
      </c>
      <c r="N90" s="65"/>
      <c r="O90" s="69"/>
      <c r="P90" s="357"/>
      <c r="Q90" s="57"/>
      <c r="R90" s="16">
        <f t="shared" si="6"/>
        <v>180000</v>
      </c>
      <c r="S90" s="57"/>
    </row>
    <row r="91" spans="1:19" s="2" customFormat="1" ht="12.75" customHeight="1" hidden="1">
      <c r="A91" s="124"/>
      <c r="B91" s="579" t="s">
        <v>178</v>
      </c>
      <c r="C91" s="576"/>
      <c r="D91" s="620"/>
      <c r="E91" s="578">
        <v>50000</v>
      </c>
      <c r="F91" s="578">
        <v>50000</v>
      </c>
      <c r="G91" s="620"/>
      <c r="H91" s="620"/>
      <c r="I91" s="399"/>
      <c r="J91" s="770"/>
      <c r="K91" s="770"/>
      <c r="L91" s="770"/>
      <c r="M91" s="808" t="e">
        <f t="shared" si="5"/>
        <v>#DIV/0!</v>
      </c>
      <c r="N91" s="65"/>
      <c r="O91" s="69"/>
      <c r="P91" s="357"/>
      <c r="Q91" s="57"/>
      <c r="R91" s="16"/>
      <c r="S91" s="57"/>
    </row>
    <row r="92" spans="1:19" s="2" customFormat="1" ht="12.75" customHeight="1">
      <c r="A92" s="124"/>
      <c r="B92" s="584" t="s">
        <v>277</v>
      </c>
      <c r="C92" s="581">
        <v>50000</v>
      </c>
      <c r="D92" s="582"/>
      <c r="E92" s="583">
        <f>C92</f>
        <v>50000</v>
      </c>
      <c r="F92" s="583">
        <v>50000</v>
      </c>
      <c r="G92" s="582">
        <v>40500</v>
      </c>
      <c r="H92" s="582">
        <v>50000</v>
      </c>
      <c r="I92" s="565">
        <v>50000</v>
      </c>
      <c r="J92" s="771">
        <v>50000</v>
      </c>
      <c r="K92" s="771">
        <v>50000</v>
      </c>
      <c r="L92" s="771">
        <v>50000</v>
      </c>
      <c r="M92" s="808">
        <f t="shared" si="5"/>
        <v>1</v>
      </c>
      <c r="N92" s="65"/>
      <c r="O92" s="69"/>
      <c r="P92" s="357"/>
      <c r="Q92" s="57"/>
      <c r="R92" s="16">
        <f t="shared" si="6"/>
        <v>50000</v>
      </c>
      <c r="S92" s="57"/>
    </row>
    <row r="93" spans="1:19" s="2" customFormat="1" ht="12.75" customHeight="1">
      <c r="A93" s="124"/>
      <c r="B93" s="584" t="s">
        <v>278</v>
      </c>
      <c r="C93" s="581"/>
      <c r="D93" s="582"/>
      <c r="E93" s="583"/>
      <c r="F93" s="583"/>
      <c r="G93" s="582">
        <v>0</v>
      </c>
      <c r="H93" s="582">
        <v>50000</v>
      </c>
      <c r="I93" s="565">
        <v>50000</v>
      </c>
      <c r="J93" s="771">
        <v>30000</v>
      </c>
      <c r="K93" s="771">
        <v>30000</v>
      </c>
      <c r="L93" s="771">
        <v>30000</v>
      </c>
      <c r="M93" s="808">
        <f t="shared" si="5"/>
        <v>1</v>
      </c>
      <c r="N93" s="65"/>
      <c r="O93" s="69"/>
      <c r="P93" s="357"/>
      <c r="Q93" s="57"/>
      <c r="R93" s="16">
        <f t="shared" si="6"/>
        <v>30000</v>
      </c>
      <c r="S93" s="57"/>
    </row>
    <row r="94" spans="1:19" s="2" customFormat="1" ht="12.75" customHeight="1" hidden="1">
      <c r="A94" s="124"/>
      <c r="B94" s="584" t="s">
        <v>279</v>
      </c>
      <c r="C94" s="581">
        <v>20000</v>
      </c>
      <c r="D94" s="582">
        <v>20000</v>
      </c>
      <c r="E94" s="583">
        <f>C94</f>
        <v>20000</v>
      </c>
      <c r="F94" s="583">
        <v>20000</v>
      </c>
      <c r="G94" s="620"/>
      <c r="H94" s="620"/>
      <c r="I94" s="399"/>
      <c r="J94" s="770"/>
      <c r="K94" s="770"/>
      <c r="L94" s="770"/>
      <c r="M94" s="808" t="e">
        <f t="shared" si="5"/>
        <v>#DIV/0!</v>
      </c>
      <c r="N94" s="65"/>
      <c r="O94" s="69"/>
      <c r="P94" s="357"/>
      <c r="Q94" s="57"/>
      <c r="R94" s="16"/>
      <c r="S94" s="57"/>
    </row>
    <row r="95" spans="1:19" s="2" customFormat="1" ht="12.75" customHeight="1">
      <c r="A95" s="124"/>
      <c r="B95" s="584" t="s">
        <v>280</v>
      </c>
      <c r="C95" s="581">
        <v>370000</v>
      </c>
      <c r="D95" s="582">
        <v>207999</v>
      </c>
      <c r="E95" s="583">
        <f>C95</f>
        <v>370000</v>
      </c>
      <c r="F95" s="583">
        <v>370000</v>
      </c>
      <c r="G95" s="582">
        <v>370000</v>
      </c>
      <c r="H95" s="582"/>
      <c r="I95" s="565"/>
      <c r="J95" s="771">
        <v>270000</v>
      </c>
      <c r="K95" s="771">
        <v>270000</v>
      </c>
      <c r="L95" s="771">
        <v>0</v>
      </c>
      <c r="M95" s="808">
        <f t="shared" si="5"/>
        <v>0</v>
      </c>
      <c r="N95" s="65"/>
      <c r="O95" s="69"/>
      <c r="P95" s="357"/>
      <c r="Q95" s="57"/>
      <c r="R95" s="16">
        <f t="shared" si="6"/>
        <v>270000</v>
      </c>
      <c r="S95" s="57"/>
    </row>
    <row r="96" spans="1:19" s="2" customFormat="1" ht="12.75" customHeight="1">
      <c r="A96" s="124"/>
      <c r="B96" s="584" t="s">
        <v>281</v>
      </c>
      <c r="C96" s="581">
        <v>20000</v>
      </c>
      <c r="D96" s="582">
        <v>8000</v>
      </c>
      <c r="E96" s="583">
        <v>0</v>
      </c>
      <c r="F96" s="583">
        <v>0</v>
      </c>
      <c r="G96" s="582">
        <v>20000</v>
      </c>
      <c r="H96" s="582"/>
      <c r="I96" s="565"/>
      <c r="J96" s="771">
        <v>20000</v>
      </c>
      <c r="K96" s="771">
        <v>20000</v>
      </c>
      <c r="L96" s="771">
        <v>0</v>
      </c>
      <c r="M96" s="808">
        <f t="shared" si="5"/>
        <v>0</v>
      </c>
      <c r="N96" s="65"/>
      <c r="O96" s="69"/>
      <c r="P96" s="357"/>
      <c r="Q96" s="57"/>
      <c r="R96" s="16">
        <f t="shared" si="6"/>
        <v>20000</v>
      </c>
      <c r="S96" s="57"/>
    </row>
    <row r="97" spans="1:19" s="2" customFormat="1" ht="12.75" customHeight="1">
      <c r="A97" s="124"/>
      <c r="B97" s="584" t="s">
        <v>282</v>
      </c>
      <c r="C97" s="581">
        <v>50000</v>
      </c>
      <c r="D97" s="582">
        <v>12001</v>
      </c>
      <c r="E97" s="583">
        <v>34336</v>
      </c>
      <c r="F97" s="583">
        <v>34336</v>
      </c>
      <c r="G97" s="582">
        <v>50000</v>
      </c>
      <c r="H97" s="582"/>
      <c r="I97" s="565"/>
      <c r="J97" s="771">
        <f>50000-5000</f>
        <v>45000</v>
      </c>
      <c r="K97" s="771">
        <f>50000-5000</f>
        <v>45000</v>
      </c>
      <c r="L97" s="771">
        <v>0</v>
      </c>
      <c r="M97" s="808">
        <f t="shared" si="5"/>
        <v>0</v>
      </c>
      <c r="N97" s="65"/>
      <c r="O97" s="69"/>
      <c r="P97" s="357"/>
      <c r="Q97" s="57"/>
      <c r="R97" s="16">
        <f t="shared" si="6"/>
        <v>45000</v>
      </c>
      <c r="S97" s="57"/>
    </row>
    <row r="98" spans="1:19" s="2" customFormat="1" ht="12.75" customHeight="1" hidden="1">
      <c r="A98" s="124"/>
      <c r="B98" s="579" t="s">
        <v>183</v>
      </c>
      <c r="C98" s="576"/>
      <c r="D98" s="620"/>
      <c r="E98" s="578">
        <v>10000</v>
      </c>
      <c r="F98" s="578">
        <v>10000</v>
      </c>
      <c r="G98" s="620"/>
      <c r="H98" s="620"/>
      <c r="I98" s="399"/>
      <c r="J98" s="770"/>
      <c r="K98" s="770"/>
      <c r="L98" s="770"/>
      <c r="M98" s="808" t="e">
        <f t="shared" si="5"/>
        <v>#DIV/0!</v>
      </c>
      <c r="N98" s="65"/>
      <c r="O98" s="69"/>
      <c r="P98" s="357"/>
      <c r="Q98" s="57"/>
      <c r="R98" s="16"/>
      <c r="S98" s="57"/>
    </row>
    <row r="99" spans="1:19" s="2" customFormat="1" ht="12.75" customHeight="1">
      <c r="A99" s="124"/>
      <c r="B99" s="584" t="s">
        <v>327</v>
      </c>
      <c r="C99" s="581">
        <v>20000</v>
      </c>
      <c r="D99" s="582">
        <v>20000</v>
      </c>
      <c r="E99" s="583">
        <f>C99</f>
        <v>20000</v>
      </c>
      <c r="F99" s="583">
        <v>20000</v>
      </c>
      <c r="G99" s="582">
        <v>20000</v>
      </c>
      <c r="H99" s="582">
        <v>20000</v>
      </c>
      <c r="I99" s="565">
        <v>20000</v>
      </c>
      <c r="J99" s="771">
        <v>10000</v>
      </c>
      <c r="K99" s="771">
        <v>10000</v>
      </c>
      <c r="L99" s="771">
        <v>0</v>
      </c>
      <c r="M99" s="808">
        <f t="shared" si="5"/>
        <v>0</v>
      </c>
      <c r="N99" s="65"/>
      <c r="O99" s="69"/>
      <c r="P99" s="357"/>
      <c r="Q99" s="57"/>
      <c r="R99" s="16">
        <f t="shared" si="6"/>
        <v>10000</v>
      </c>
      <c r="S99" s="57"/>
    </row>
    <row r="100" spans="1:19" s="2" customFormat="1" ht="12.75" customHeight="1">
      <c r="A100" s="124"/>
      <c r="B100" s="584" t="s">
        <v>321</v>
      </c>
      <c r="C100" s="581"/>
      <c r="D100" s="582"/>
      <c r="E100" s="583"/>
      <c r="F100" s="583"/>
      <c r="G100" s="582">
        <v>210000</v>
      </c>
      <c r="H100" s="582"/>
      <c r="I100" s="587">
        <v>210000</v>
      </c>
      <c r="J100" s="771">
        <v>100000</v>
      </c>
      <c r="K100" s="771">
        <v>100000</v>
      </c>
      <c r="L100" s="771">
        <v>0</v>
      </c>
      <c r="M100" s="808">
        <f t="shared" si="5"/>
        <v>0</v>
      </c>
      <c r="N100" s="65"/>
      <c r="O100" s="69"/>
      <c r="P100" s="357"/>
      <c r="Q100" s="57"/>
      <c r="R100" s="16">
        <f>J100</f>
        <v>100000</v>
      </c>
      <c r="S100" s="57"/>
    </row>
    <row r="101" spans="1:19" s="2" customFormat="1" ht="12.75" customHeight="1">
      <c r="A101" s="124"/>
      <c r="B101" s="584" t="s">
        <v>320</v>
      </c>
      <c r="C101" s="581"/>
      <c r="D101" s="582"/>
      <c r="E101" s="594">
        <v>40000</v>
      </c>
      <c r="F101" s="594">
        <v>40000</v>
      </c>
      <c r="G101" s="582">
        <v>50000</v>
      </c>
      <c r="H101" s="582"/>
      <c r="I101" s="587">
        <v>0</v>
      </c>
      <c r="J101" s="771">
        <v>50000</v>
      </c>
      <c r="K101" s="771">
        <v>50000</v>
      </c>
      <c r="L101" s="771">
        <v>0</v>
      </c>
      <c r="M101" s="808">
        <f t="shared" si="5"/>
        <v>0</v>
      </c>
      <c r="N101" s="65"/>
      <c r="O101" s="69"/>
      <c r="P101" s="357"/>
      <c r="Q101" s="57"/>
      <c r="R101" s="16">
        <f>J101</f>
        <v>50000</v>
      </c>
      <c r="S101" s="57"/>
    </row>
    <row r="102" spans="1:19" s="2" customFormat="1" ht="12.75" customHeight="1" hidden="1">
      <c r="A102" s="124"/>
      <c r="B102" s="579" t="s">
        <v>312</v>
      </c>
      <c r="C102" s="576"/>
      <c r="D102" s="620"/>
      <c r="E102" s="621">
        <v>15000</v>
      </c>
      <c r="F102" s="621">
        <v>15000</v>
      </c>
      <c r="G102" s="620"/>
      <c r="H102" s="620"/>
      <c r="I102" s="622"/>
      <c r="J102" s="770"/>
      <c r="K102" s="770"/>
      <c r="L102" s="770"/>
      <c r="M102" s="808" t="e">
        <f t="shared" si="5"/>
        <v>#DIV/0!</v>
      </c>
      <c r="N102" s="65"/>
      <c r="O102" s="69"/>
      <c r="P102" s="357"/>
      <c r="Q102" s="57"/>
      <c r="R102" s="16"/>
      <c r="S102" s="57"/>
    </row>
    <row r="103" spans="1:19" s="2" customFormat="1" ht="12.75" customHeight="1" hidden="1">
      <c r="A103" s="124"/>
      <c r="B103" s="584" t="s">
        <v>284</v>
      </c>
      <c r="C103" s="581"/>
      <c r="D103" s="582"/>
      <c r="E103" s="594"/>
      <c r="F103" s="594"/>
      <c r="G103" s="582"/>
      <c r="H103" s="582"/>
      <c r="I103" s="587"/>
      <c r="J103" s="771"/>
      <c r="K103" s="771"/>
      <c r="L103" s="771"/>
      <c r="M103" s="808" t="e">
        <f t="shared" si="5"/>
        <v>#DIV/0!</v>
      </c>
      <c r="N103" s="65"/>
      <c r="O103" s="69"/>
      <c r="P103" s="357"/>
      <c r="Q103" s="57"/>
      <c r="R103" s="16">
        <f t="shared" si="6"/>
        <v>0</v>
      </c>
      <c r="S103" s="57"/>
    </row>
    <row r="104" spans="1:19" s="2" customFormat="1" ht="12.75" customHeight="1" hidden="1">
      <c r="A104" s="124"/>
      <c r="B104" s="625" t="s">
        <v>256</v>
      </c>
      <c r="C104" s="624"/>
      <c r="D104" s="626"/>
      <c r="E104" s="627"/>
      <c r="F104" s="627"/>
      <c r="G104" s="626"/>
      <c r="H104" s="626"/>
      <c r="I104" s="626"/>
      <c r="J104" s="772">
        <v>0</v>
      </c>
      <c r="K104" s="772">
        <v>0</v>
      </c>
      <c r="L104" s="772"/>
      <c r="M104" s="808" t="e">
        <f t="shared" si="5"/>
        <v>#DIV/0!</v>
      </c>
      <c r="N104" s="65"/>
      <c r="O104" s="69"/>
      <c r="P104" s="357"/>
      <c r="Q104" s="57"/>
      <c r="R104" s="16">
        <f t="shared" si="6"/>
        <v>0</v>
      </c>
      <c r="S104" s="57"/>
    </row>
    <row r="105" spans="1:19" s="2" customFormat="1" ht="12.75" customHeight="1" hidden="1">
      <c r="A105" s="124"/>
      <c r="B105" s="584" t="s">
        <v>285</v>
      </c>
      <c r="C105" s="581"/>
      <c r="D105" s="582"/>
      <c r="E105" s="594"/>
      <c r="F105" s="594"/>
      <c r="G105" s="582">
        <v>90000</v>
      </c>
      <c r="H105" s="620"/>
      <c r="I105" s="622"/>
      <c r="J105" s="770"/>
      <c r="K105" s="770"/>
      <c r="L105" s="770"/>
      <c r="M105" s="808" t="e">
        <f t="shared" si="5"/>
        <v>#DIV/0!</v>
      </c>
      <c r="N105" s="65"/>
      <c r="O105" s="69"/>
      <c r="P105" s="357"/>
      <c r="Q105" s="57"/>
      <c r="R105" s="16">
        <f t="shared" si="6"/>
        <v>0</v>
      </c>
      <c r="S105" s="57"/>
    </row>
    <row r="106" spans="1:19" s="2" customFormat="1" ht="12.75" customHeight="1">
      <c r="A106" s="124"/>
      <c r="B106" s="584" t="s">
        <v>319</v>
      </c>
      <c r="C106" s="581"/>
      <c r="D106" s="582"/>
      <c r="E106" s="594"/>
      <c r="F106" s="594"/>
      <c r="G106" s="582">
        <v>50000</v>
      </c>
      <c r="H106" s="582">
        <v>10000</v>
      </c>
      <c r="I106" s="587">
        <v>22000</v>
      </c>
      <c r="J106" s="771">
        <v>50000</v>
      </c>
      <c r="K106" s="771">
        <v>50000</v>
      </c>
      <c r="L106" s="771">
        <v>0</v>
      </c>
      <c r="M106" s="808">
        <f t="shared" si="5"/>
        <v>0</v>
      </c>
      <c r="N106" s="65"/>
      <c r="O106" s="69"/>
      <c r="P106" s="357"/>
      <c r="Q106" s="57"/>
      <c r="R106" s="16">
        <f t="shared" si="6"/>
        <v>50000</v>
      </c>
      <c r="S106" s="57"/>
    </row>
    <row r="107" spans="1:19" s="2" customFormat="1" ht="12.75" customHeight="1">
      <c r="A107" s="124"/>
      <c r="B107" s="589" t="s">
        <v>326</v>
      </c>
      <c r="C107" s="824"/>
      <c r="D107" s="565"/>
      <c r="E107" s="825"/>
      <c r="F107" s="825"/>
      <c r="G107" s="565"/>
      <c r="H107" s="565"/>
      <c r="I107" s="565"/>
      <c r="J107" s="771">
        <v>20000</v>
      </c>
      <c r="K107" s="771">
        <v>20000</v>
      </c>
      <c r="L107" s="771">
        <v>20000</v>
      </c>
      <c r="M107" s="808">
        <f t="shared" si="5"/>
        <v>1</v>
      </c>
      <c r="N107" s="65"/>
      <c r="O107" s="69"/>
      <c r="P107" s="357"/>
      <c r="Q107" s="57"/>
      <c r="R107" s="16">
        <f t="shared" si="6"/>
        <v>20000</v>
      </c>
      <c r="S107" s="57"/>
    </row>
    <row r="108" spans="1:19" s="2" customFormat="1" ht="12.75" customHeight="1">
      <c r="A108" s="124"/>
      <c r="B108" s="589" t="s">
        <v>328</v>
      </c>
      <c r="C108" s="824"/>
      <c r="D108" s="565"/>
      <c r="E108" s="825"/>
      <c r="F108" s="825"/>
      <c r="G108" s="565"/>
      <c r="H108" s="565"/>
      <c r="I108" s="565"/>
      <c r="J108" s="771">
        <v>10000</v>
      </c>
      <c r="K108" s="771">
        <v>10000</v>
      </c>
      <c r="L108" s="771">
        <v>0</v>
      </c>
      <c r="M108" s="808">
        <f t="shared" si="5"/>
        <v>0</v>
      </c>
      <c r="N108" s="65"/>
      <c r="O108" s="69"/>
      <c r="P108" s="357"/>
      <c r="Q108" s="57"/>
      <c r="R108" s="16">
        <f t="shared" si="6"/>
        <v>10000</v>
      </c>
      <c r="S108" s="57"/>
    </row>
    <row r="109" spans="1:19" s="2" customFormat="1" ht="12.75" customHeight="1">
      <c r="A109" s="124"/>
      <c r="B109" s="797" t="s">
        <v>365</v>
      </c>
      <c r="C109" s="824"/>
      <c r="D109" s="565"/>
      <c r="E109" s="825"/>
      <c r="F109" s="825"/>
      <c r="G109" s="565"/>
      <c r="H109" s="565"/>
      <c r="I109" s="565"/>
      <c r="J109" s="771">
        <v>50000</v>
      </c>
      <c r="K109" s="771">
        <v>50000</v>
      </c>
      <c r="L109" s="771">
        <v>0</v>
      </c>
      <c r="M109" s="808">
        <f t="shared" si="5"/>
        <v>0</v>
      </c>
      <c r="N109" s="65"/>
      <c r="O109" s="69"/>
      <c r="P109" s="357"/>
      <c r="Q109" s="57"/>
      <c r="R109" s="16">
        <f t="shared" si="6"/>
        <v>50000</v>
      </c>
      <c r="S109" s="57"/>
    </row>
    <row r="110" spans="1:19" s="2" customFormat="1" ht="12.75" customHeight="1">
      <c r="A110" s="124"/>
      <c r="B110" s="797" t="s">
        <v>364</v>
      </c>
      <c r="C110" s="824"/>
      <c r="D110" s="565"/>
      <c r="E110" s="825"/>
      <c r="F110" s="825"/>
      <c r="G110" s="565"/>
      <c r="H110" s="565"/>
      <c r="I110" s="565"/>
      <c r="J110" s="771">
        <v>50000</v>
      </c>
      <c r="K110" s="771">
        <v>50000</v>
      </c>
      <c r="L110" s="771">
        <v>0</v>
      </c>
      <c r="M110" s="808">
        <f t="shared" si="5"/>
        <v>0</v>
      </c>
      <c r="N110" s="65"/>
      <c r="O110" s="69"/>
      <c r="P110" s="357"/>
      <c r="Q110" s="57"/>
      <c r="R110" s="16">
        <f t="shared" si="6"/>
        <v>50000</v>
      </c>
      <c r="S110" s="57"/>
    </row>
    <row r="111" spans="1:19" s="2" customFormat="1" ht="12.75" customHeight="1" thickBot="1">
      <c r="A111" s="124"/>
      <c r="B111" s="579" t="s">
        <v>323</v>
      </c>
      <c r="C111" s="576"/>
      <c r="D111" s="577">
        <f>130000+90000+30000+100000+57000+393700+15000</f>
        <v>815700</v>
      </c>
      <c r="E111" s="578"/>
      <c r="F111" s="578">
        <v>155382</v>
      </c>
      <c r="G111" s="577"/>
      <c r="H111" s="577"/>
      <c r="I111" s="406">
        <v>70420</v>
      </c>
      <c r="J111" s="757">
        <v>0</v>
      </c>
      <c r="K111" s="823">
        <v>260000</v>
      </c>
      <c r="L111" s="757"/>
      <c r="M111" s="801">
        <f t="shared" si="5"/>
        <v>0</v>
      </c>
      <c r="N111" s="65"/>
      <c r="O111" s="69"/>
      <c r="P111" s="357"/>
      <c r="Q111" s="57"/>
      <c r="R111" s="16"/>
      <c r="S111" s="57"/>
    </row>
    <row r="112" spans="1:19" s="2" customFormat="1" ht="12.75" customHeight="1" hidden="1">
      <c r="A112" s="124"/>
      <c r="B112" s="579"/>
      <c r="C112" s="576"/>
      <c r="D112" s="577"/>
      <c r="E112" s="578"/>
      <c r="F112" s="578"/>
      <c r="G112" s="577"/>
      <c r="H112" s="577"/>
      <c r="I112" s="398"/>
      <c r="J112" s="757"/>
      <c r="K112" s="757"/>
      <c r="L112" s="757"/>
      <c r="M112" s="757"/>
      <c r="N112" s="65"/>
      <c r="O112" s="69"/>
      <c r="P112" s="357"/>
      <c r="Q112" s="57"/>
      <c r="R112" s="16"/>
      <c r="S112" s="57"/>
    </row>
    <row r="113" spans="1:19" s="2" customFormat="1" ht="12.75" customHeight="1" hidden="1">
      <c r="A113" s="124"/>
      <c r="B113" s="579"/>
      <c r="C113" s="429"/>
      <c r="D113" s="406"/>
      <c r="E113" s="441"/>
      <c r="F113" s="441"/>
      <c r="G113" s="406"/>
      <c r="H113" s="406"/>
      <c r="I113" s="406"/>
      <c r="J113" s="757"/>
      <c r="K113" s="757"/>
      <c r="L113" s="757"/>
      <c r="M113" s="757"/>
      <c r="N113" s="65"/>
      <c r="O113" s="69"/>
      <c r="P113" s="357"/>
      <c r="Q113" s="57"/>
      <c r="R113" s="16"/>
      <c r="S113" s="57"/>
    </row>
    <row r="114" spans="1:19" s="2" customFormat="1" ht="12.75" customHeight="1" hidden="1">
      <c r="A114" s="124"/>
      <c r="B114" s="579"/>
      <c r="C114" s="429"/>
      <c r="D114" s="406"/>
      <c r="E114" s="441"/>
      <c r="F114" s="441"/>
      <c r="G114" s="406"/>
      <c r="H114" s="406"/>
      <c r="I114" s="406"/>
      <c r="J114" s="757"/>
      <c r="K114" s="757"/>
      <c r="L114" s="757"/>
      <c r="M114" s="757"/>
      <c r="N114" s="65"/>
      <c r="O114" s="69"/>
      <c r="P114" s="357"/>
      <c r="Q114" s="57"/>
      <c r="R114" s="16"/>
      <c r="S114" s="57"/>
    </row>
    <row r="115" spans="1:19" s="2" customFormat="1" ht="12.75" customHeight="1" hidden="1">
      <c r="A115" s="124"/>
      <c r="B115" s="579"/>
      <c r="C115" s="429"/>
      <c r="D115" s="406"/>
      <c r="E115" s="441"/>
      <c r="F115" s="441"/>
      <c r="G115" s="406"/>
      <c r="H115" s="406"/>
      <c r="I115" s="406"/>
      <c r="J115" s="757"/>
      <c r="K115" s="757"/>
      <c r="L115" s="757"/>
      <c r="M115" s="757"/>
      <c r="N115" s="65"/>
      <c r="O115" s="69"/>
      <c r="P115" s="357"/>
      <c r="Q115" s="57"/>
      <c r="R115" s="16"/>
      <c r="S115" s="57"/>
    </row>
    <row r="116" spans="1:19" s="108" customFormat="1" ht="12.75" customHeight="1" hidden="1">
      <c r="A116" s="284"/>
      <c r="B116" s="678" t="s">
        <v>53</v>
      </c>
      <c r="C116" s="679">
        <v>68000</v>
      </c>
      <c r="D116" s="680">
        <v>68067</v>
      </c>
      <c r="E116" s="681">
        <v>68000</v>
      </c>
      <c r="F116" s="681"/>
      <c r="G116" s="680"/>
      <c r="H116" s="680"/>
      <c r="I116" s="680"/>
      <c r="J116" s="773"/>
      <c r="K116" s="773"/>
      <c r="L116" s="773"/>
      <c r="M116" s="773"/>
      <c r="N116" s="81"/>
      <c r="O116" s="70"/>
      <c r="P116" s="394"/>
      <c r="Q116" s="57"/>
      <c r="R116" s="16"/>
      <c r="S116" s="57"/>
    </row>
    <row r="117" spans="1:19" s="11" customFormat="1" ht="14.25" thickBot="1">
      <c r="A117" s="124"/>
      <c r="B117" s="460" t="s">
        <v>13</v>
      </c>
      <c r="C117" s="683">
        <f aca="true" t="shared" si="7" ref="C117:J117">SUM(C64:C116)</f>
        <v>12493975</v>
      </c>
      <c r="D117" s="360">
        <f t="shared" si="7"/>
        <v>12314901</v>
      </c>
      <c r="E117" s="684">
        <f t="shared" si="7"/>
        <v>12888766</v>
      </c>
      <c r="F117" s="684">
        <f t="shared" si="7"/>
        <v>12988703</v>
      </c>
      <c r="G117" s="360">
        <f t="shared" si="7"/>
        <v>13719257</v>
      </c>
      <c r="H117" s="360">
        <f t="shared" si="7"/>
        <v>5064711</v>
      </c>
      <c r="I117" s="360">
        <f t="shared" si="7"/>
        <v>6325994</v>
      </c>
      <c r="J117" s="774">
        <f t="shared" si="7"/>
        <v>14081624</v>
      </c>
      <c r="K117" s="774">
        <f>SUM(K64:K116)</f>
        <v>14591624</v>
      </c>
      <c r="L117" s="774">
        <f>SUM(L64:L116)</f>
        <v>4802804</v>
      </c>
      <c r="M117" s="774"/>
      <c r="N117" s="685"/>
      <c r="O117" s="686"/>
      <c r="P117" s="687"/>
      <c r="Q117" s="52"/>
      <c r="R117" s="501">
        <f>SUM(R70:R116)</f>
        <v>2360000</v>
      </c>
      <c r="S117" s="134"/>
    </row>
    <row r="118" spans="1:19" s="11" customFormat="1" ht="9" customHeight="1" thickBot="1">
      <c r="A118" s="124"/>
      <c r="B118" s="327"/>
      <c r="C118" s="366"/>
      <c r="D118" s="367"/>
      <c r="E118" s="5"/>
      <c r="F118" s="5"/>
      <c r="G118" s="367"/>
      <c r="H118" s="367"/>
      <c r="I118" s="367"/>
      <c r="J118" s="609"/>
      <c r="K118" s="56"/>
      <c r="L118" s="56"/>
      <c r="M118" s="775"/>
      <c r="N118" s="82"/>
      <c r="O118" s="83"/>
      <c r="P118" s="124"/>
      <c r="Q118" s="52"/>
      <c r="R118" s="16"/>
      <c r="S118" s="134"/>
    </row>
    <row r="119" spans="1:19" s="11" customFormat="1" ht="15" thickBot="1" thickTop="1">
      <c r="A119" s="124"/>
      <c r="B119" s="340" t="s">
        <v>167</v>
      </c>
      <c r="C119" s="341"/>
      <c r="D119" s="343">
        <f aca="true" t="shared" si="8" ref="D119:M119">D117-D61</f>
        <v>-154646</v>
      </c>
      <c r="E119" s="343">
        <f t="shared" si="8"/>
        <v>0</v>
      </c>
      <c r="F119" s="343">
        <f t="shared" si="8"/>
        <v>25684</v>
      </c>
      <c r="G119" s="343">
        <f t="shared" si="8"/>
        <v>0</v>
      </c>
      <c r="H119" s="343">
        <f t="shared" si="8"/>
        <v>-171073</v>
      </c>
      <c r="I119" s="343">
        <f t="shared" si="8"/>
        <v>80293</v>
      </c>
      <c r="J119" s="776">
        <f t="shared" si="8"/>
        <v>0</v>
      </c>
      <c r="K119" s="776">
        <f t="shared" si="8"/>
        <v>0</v>
      </c>
      <c r="L119" s="776">
        <f t="shared" si="8"/>
        <v>216159</v>
      </c>
      <c r="M119" s="776">
        <f t="shared" si="8"/>
        <v>0</v>
      </c>
      <c r="N119" s="82"/>
      <c r="O119" s="83"/>
      <c r="P119" s="124"/>
      <c r="Q119" s="52"/>
      <c r="R119" s="16"/>
      <c r="S119" s="134"/>
    </row>
    <row r="120" spans="2:19" ht="8.25" customHeight="1" thickTop="1">
      <c r="B120" s="67"/>
      <c r="C120" s="67"/>
      <c r="D120" s="67"/>
      <c r="E120" s="67"/>
      <c r="F120" s="67"/>
      <c r="G120" s="368"/>
      <c r="H120" s="368"/>
      <c r="I120" s="368"/>
      <c r="R120" s="28"/>
      <c r="S120" s="134"/>
    </row>
    <row r="121" spans="2:19" ht="18" thickBot="1">
      <c r="B121" s="874" t="s">
        <v>14</v>
      </c>
      <c r="C121" s="874"/>
      <c r="D121" s="874"/>
      <c r="E121" s="874"/>
      <c r="F121" s="874"/>
      <c r="G121" s="874"/>
      <c r="H121" s="874"/>
      <c r="I121" s="874"/>
      <c r="J121" s="874"/>
      <c r="K121" s="874"/>
      <c r="L121" s="874"/>
      <c r="R121" s="29"/>
      <c r="S121" s="134"/>
    </row>
    <row r="122" spans="2:19" ht="27.75">
      <c r="B122" s="454" t="s">
        <v>0</v>
      </c>
      <c r="C122" s="93" t="s">
        <v>299</v>
      </c>
      <c r="D122" s="350" t="s">
        <v>137</v>
      </c>
      <c r="E122" s="93" t="s">
        <v>299</v>
      </c>
      <c r="F122" s="350" t="s">
        <v>137</v>
      </c>
      <c r="G122" s="93" t="s">
        <v>299</v>
      </c>
      <c r="H122" s="350" t="s">
        <v>338</v>
      </c>
      <c r="I122" s="350" t="s">
        <v>338</v>
      </c>
      <c r="J122" s="749" t="s">
        <v>411</v>
      </c>
      <c r="K122" s="749" t="s">
        <v>412</v>
      </c>
      <c r="L122" s="794" t="s">
        <v>414</v>
      </c>
      <c r="M122" s="181" t="s">
        <v>415</v>
      </c>
      <c r="N122" s="1"/>
      <c r="O122" s="41"/>
      <c r="P122" s="351" t="s">
        <v>136</v>
      </c>
      <c r="R122" s="135"/>
      <c r="S122" s="134"/>
    </row>
    <row r="123" spans="2:21" ht="15.75" thickBot="1">
      <c r="B123" s="455"/>
      <c r="C123" s="539">
        <v>2015</v>
      </c>
      <c r="D123" s="353">
        <v>2015</v>
      </c>
      <c r="E123" s="540">
        <v>2016</v>
      </c>
      <c r="F123" s="540">
        <v>2016</v>
      </c>
      <c r="G123" s="353">
        <v>2017</v>
      </c>
      <c r="H123" s="418" t="s">
        <v>339</v>
      </c>
      <c r="I123" s="418" t="s">
        <v>359</v>
      </c>
      <c r="J123" s="395" t="s">
        <v>300</v>
      </c>
      <c r="K123" s="395" t="s">
        <v>300</v>
      </c>
      <c r="L123" s="863">
        <v>43191</v>
      </c>
      <c r="M123" s="182"/>
      <c r="N123" s="1"/>
      <c r="O123" s="41"/>
      <c r="P123" s="355"/>
      <c r="R123" s="29"/>
      <c r="S123" s="134"/>
      <c r="T123" s="29"/>
      <c r="U123" s="29"/>
    </row>
    <row r="124" spans="1:21" s="2" customFormat="1" ht="12.75" customHeight="1">
      <c r="A124" s="124"/>
      <c r="B124" s="456" t="s">
        <v>322</v>
      </c>
      <c r="C124" s="452">
        <v>169000</v>
      </c>
      <c r="D124" s="437">
        <v>42335</v>
      </c>
      <c r="E124" s="448">
        <v>50000</v>
      </c>
      <c r="F124" s="448">
        <v>40506</v>
      </c>
      <c r="G124" s="437">
        <v>47100</v>
      </c>
      <c r="H124" s="437">
        <v>27252</v>
      </c>
      <c r="I124" s="437">
        <v>13552</v>
      </c>
      <c r="J124" s="766">
        <v>45000</v>
      </c>
      <c r="K124" s="766">
        <v>45000</v>
      </c>
      <c r="L124" s="766">
        <v>0</v>
      </c>
      <c r="M124" s="801">
        <f aca="true" t="shared" si="9" ref="M124:M132">L124/K124</f>
        <v>0</v>
      </c>
      <c r="P124" s="356"/>
      <c r="R124" s="70"/>
      <c r="S124" s="134"/>
      <c r="T124" s="70"/>
      <c r="U124" s="70"/>
    </row>
    <row r="125" spans="1:21" s="2" customFormat="1" ht="12.75" customHeight="1">
      <c r="A125" s="124"/>
      <c r="B125" s="457" t="s">
        <v>314</v>
      </c>
      <c r="C125" s="430"/>
      <c r="D125" s="398">
        <v>20088</v>
      </c>
      <c r="E125" s="397">
        <v>11000</v>
      </c>
      <c r="F125" s="397">
        <v>17147</v>
      </c>
      <c r="G125" s="398">
        <v>17300</v>
      </c>
      <c r="H125" s="398">
        <v>7095</v>
      </c>
      <c r="I125" s="398">
        <v>9915</v>
      </c>
      <c r="J125" s="757">
        <v>18000</v>
      </c>
      <c r="K125" s="757">
        <v>18000</v>
      </c>
      <c r="L125" s="757">
        <v>5883</v>
      </c>
      <c r="M125" s="801">
        <f t="shared" si="9"/>
        <v>0.3268333333333333</v>
      </c>
      <c r="P125" s="357"/>
      <c r="R125" s="70"/>
      <c r="S125" s="134"/>
      <c r="T125" s="70"/>
      <c r="U125" s="70"/>
    </row>
    <row r="126" spans="1:21" s="2" customFormat="1" ht="12.75" customHeight="1">
      <c r="A126" s="124"/>
      <c r="B126" s="457" t="s">
        <v>313</v>
      </c>
      <c r="C126" s="430"/>
      <c r="D126" s="398">
        <v>88894</v>
      </c>
      <c r="E126" s="397">
        <v>108000</v>
      </c>
      <c r="F126" s="397">
        <v>93886</v>
      </c>
      <c r="G126" s="398">
        <v>113300</v>
      </c>
      <c r="H126" s="398">
        <v>49601</v>
      </c>
      <c r="I126" s="398">
        <v>50557</v>
      </c>
      <c r="J126" s="757">
        <v>115000</v>
      </c>
      <c r="K126" s="757">
        <v>115000</v>
      </c>
      <c r="L126" s="757">
        <v>0</v>
      </c>
      <c r="M126" s="801">
        <f t="shared" si="9"/>
        <v>0</v>
      </c>
      <c r="P126" s="358"/>
      <c r="R126" s="70"/>
      <c r="S126" s="134"/>
      <c r="T126" s="70"/>
      <c r="U126" s="70"/>
    </row>
    <row r="127" spans="1:21" s="2" customFormat="1" ht="12.75" customHeight="1">
      <c r="A127" s="124"/>
      <c r="B127" s="458" t="s">
        <v>1</v>
      </c>
      <c r="C127" s="430">
        <v>25000</v>
      </c>
      <c r="D127" s="398">
        <v>0</v>
      </c>
      <c r="E127" s="595">
        <f>C127</f>
        <v>25000</v>
      </c>
      <c r="F127" s="595">
        <v>960</v>
      </c>
      <c r="G127" s="398">
        <v>20000</v>
      </c>
      <c r="H127" s="398">
        <v>0</v>
      </c>
      <c r="I127" s="398"/>
      <c r="J127" s="757">
        <f>20000-5000</f>
        <v>15000</v>
      </c>
      <c r="K127" s="757">
        <f>20000-5000</f>
        <v>15000</v>
      </c>
      <c r="L127" s="757">
        <v>0</v>
      </c>
      <c r="M127" s="801">
        <f t="shared" si="9"/>
        <v>0</v>
      </c>
      <c r="P127" s="357"/>
      <c r="R127" s="70"/>
      <c r="S127" s="134"/>
      <c r="T127" s="70"/>
      <c r="U127" s="70"/>
    </row>
    <row r="128" spans="1:21" s="2" customFormat="1" ht="12.75" customHeight="1" hidden="1">
      <c r="A128" s="124"/>
      <c r="B128" s="458" t="s">
        <v>197</v>
      </c>
      <c r="C128" s="430"/>
      <c r="D128" s="398">
        <v>5857</v>
      </c>
      <c r="E128" s="595">
        <v>197957</v>
      </c>
      <c r="F128" s="595">
        <v>197957</v>
      </c>
      <c r="G128" s="398"/>
      <c r="H128" s="398"/>
      <c r="I128" s="399"/>
      <c r="J128" s="757"/>
      <c r="K128" s="757"/>
      <c r="L128" s="757"/>
      <c r="M128" s="801" t="e">
        <f t="shared" si="9"/>
        <v>#DIV/0!</v>
      </c>
      <c r="P128" s="357"/>
      <c r="R128" s="70"/>
      <c r="S128" s="134"/>
      <c r="T128" s="70"/>
      <c r="U128" s="70"/>
    </row>
    <row r="129" spans="1:21" s="2" customFormat="1" ht="12.75" customHeight="1">
      <c r="A129" s="124"/>
      <c r="B129" s="458" t="s">
        <v>198</v>
      </c>
      <c r="C129" s="430"/>
      <c r="D129" s="398"/>
      <c r="E129" s="595"/>
      <c r="F129" s="595">
        <v>12364</v>
      </c>
      <c r="G129" s="398">
        <v>24960</v>
      </c>
      <c r="H129" s="398">
        <v>10358</v>
      </c>
      <c r="I129" s="399">
        <v>12402</v>
      </c>
      <c r="J129" s="757">
        <f>3275+1194+1943+1429+593+589+589+589+589+589+589+589+589+589+589+589+589+248+124+454+454+454+454+556+556+184+184+539+108+120+2011+311+311+311+311+311+311+311+311+311+19</f>
        <v>24766</v>
      </c>
      <c r="K129" s="757">
        <f>3275+1194+1943+1429+593+589+589+589+589+589+589+589+589+589+589+589+589+248+124+454+454+454+454+556+556+184+184+539+108+120+2011+311+311+311+311+311+311+311+311+311+19</f>
        <v>24766</v>
      </c>
      <c r="L129" s="757">
        <v>8275</v>
      </c>
      <c r="M129" s="801">
        <f t="shared" si="9"/>
        <v>0.3341274327707341</v>
      </c>
      <c r="P129" s="357"/>
      <c r="R129" s="70"/>
      <c r="S129" s="134"/>
      <c r="T129" s="70"/>
      <c r="U129" s="70"/>
    </row>
    <row r="130" spans="1:21" s="2" customFormat="1" ht="12.75" customHeight="1">
      <c r="A130" s="124"/>
      <c r="B130" s="458" t="s">
        <v>8</v>
      </c>
      <c r="C130" s="430">
        <v>6000</v>
      </c>
      <c r="D130" s="398">
        <v>25</v>
      </c>
      <c r="E130" s="595">
        <f>C130</f>
        <v>6000</v>
      </c>
      <c r="F130" s="595">
        <v>17800</v>
      </c>
      <c r="G130" s="398">
        <v>6200</v>
      </c>
      <c r="H130" s="398">
        <v>3011</v>
      </c>
      <c r="I130" s="398">
        <v>3011</v>
      </c>
      <c r="J130" s="757">
        <v>7000</v>
      </c>
      <c r="K130" s="757">
        <v>7000</v>
      </c>
      <c r="L130" s="757">
        <v>374</v>
      </c>
      <c r="M130" s="801">
        <f t="shared" si="9"/>
        <v>0.05342857142857143</v>
      </c>
      <c r="P130" s="357"/>
      <c r="R130" s="70"/>
      <c r="S130" s="134"/>
      <c r="T130" s="70"/>
      <c r="U130" s="70"/>
    </row>
    <row r="131" spans="1:21" s="2" customFormat="1" ht="12.75" customHeight="1">
      <c r="A131" s="124"/>
      <c r="B131" s="458" t="s">
        <v>16</v>
      </c>
      <c r="C131" s="430">
        <v>95000</v>
      </c>
      <c r="D131" s="398">
        <v>56433</v>
      </c>
      <c r="E131" s="595">
        <v>235800</v>
      </c>
      <c r="F131" s="595">
        <v>205254</v>
      </c>
      <c r="G131" s="398">
        <v>280000</v>
      </c>
      <c r="H131" s="398">
        <v>34311</v>
      </c>
      <c r="I131" s="398">
        <v>35590</v>
      </c>
      <c r="J131" s="757">
        <v>100000</v>
      </c>
      <c r="K131" s="757">
        <v>100000</v>
      </c>
      <c r="L131" s="757">
        <v>13278</v>
      </c>
      <c r="M131" s="801">
        <f t="shared" si="9"/>
        <v>0.13278</v>
      </c>
      <c r="P131" s="357"/>
      <c r="R131" s="70"/>
      <c r="S131" s="134"/>
      <c r="T131" s="70"/>
      <c r="U131" s="70"/>
    </row>
    <row r="132" spans="1:21" s="2" customFormat="1" ht="12.75" customHeight="1" thickBot="1">
      <c r="A132" s="124"/>
      <c r="B132" s="549" t="s">
        <v>10</v>
      </c>
      <c r="C132" s="550">
        <v>319340</v>
      </c>
      <c r="D132" s="551">
        <v>287854</v>
      </c>
      <c r="E132" s="552">
        <v>319826</v>
      </c>
      <c r="F132" s="552">
        <v>298092</v>
      </c>
      <c r="G132" s="551">
        <v>442295</v>
      </c>
      <c r="H132" s="551">
        <v>143190</v>
      </c>
      <c r="I132" s="551">
        <v>180034</v>
      </c>
      <c r="J132" s="779">
        <v>590481</v>
      </c>
      <c r="K132" s="779">
        <v>590481</v>
      </c>
      <c r="L132" s="779">
        <v>137545</v>
      </c>
      <c r="M132" s="821">
        <f t="shared" si="9"/>
        <v>0.23293721559203429</v>
      </c>
      <c r="P132" s="359"/>
      <c r="Q132" s="70"/>
      <c r="R132" s="70"/>
      <c r="S132" s="500"/>
      <c r="T132" s="70"/>
      <c r="U132" s="70"/>
    </row>
    <row r="133" spans="1:21" s="11" customFormat="1" ht="14.25" thickBot="1">
      <c r="A133" s="124"/>
      <c r="B133" s="460" t="s">
        <v>2</v>
      </c>
      <c r="C133" s="373">
        <f aca="true" t="shared" si="10" ref="C133:J133">SUM(C124:C132)</f>
        <v>614340</v>
      </c>
      <c r="D133" s="360">
        <f t="shared" si="10"/>
        <v>501486</v>
      </c>
      <c r="E133" s="371">
        <f t="shared" si="10"/>
        <v>953583</v>
      </c>
      <c r="F133" s="371">
        <f t="shared" si="10"/>
        <v>883966</v>
      </c>
      <c r="G133" s="360">
        <f t="shared" si="10"/>
        <v>951155</v>
      </c>
      <c r="H133" s="360">
        <f t="shared" si="10"/>
        <v>274818</v>
      </c>
      <c r="I133" s="372">
        <f t="shared" si="10"/>
        <v>305061</v>
      </c>
      <c r="J133" s="780">
        <f t="shared" si="10"/>
        <v>915247</v>
      </c>
      <c r="K133" s="780">
        <f>SUM(K124:K132)</f>
        <v>915247</v>
      </c>
      <c r="L133" s="780">
        <f>SUM(L124:L132)</f>
        <v>165355</v>
      </c>
      <c r="M133" s="780"/>
      <c r="P133" s="124"/>
      <c r="Q133" s="16"/>
      <c r="R133" s="52"/>
      <c r="S133" s="500"/>
      <c r="T133" s="52"/>
      <c r="U133" s="52"/>
    </row>
    <row r="134" spans="2:21" ht="15.75" thickBot="1">
      <c r="B134" s="3"/>
      <c r="C134" s="17"/>
      <c r="D134" s="17"/>
      <c r="E134" s="22"/>
      <c r="F134" s="22"/>
      <c r="G134" s="362"/>
      <c r="H134" s="362"/>
      <c r="I134" s="362"/>
      <c r="J134" s="751"/>
      <c r="K134" s="751"/>
      <c r="L134" s="751"/>
      <c r="M134" s="751"/>
      <c r="Q134" s="16"/>
      <c r="R134" s="29"/>
      <c r="T134" s="29"/>
      <c r="U134" s="29"/>
    </row>
    <row r="135" spans="2:21" ht="15.75" thickBot="1">
      <c r="B135" s="89" t="s">
        <v>3</v>
      </c>
      <c r="C135" s="17"/>
      <c r="D135" s="17"/>
      <c r="E135" s="22"/>
      <c r="F135" s="22"/>
      <c r="G135" s="362"/>
      <c r="H135" s="362"/>
      <c r="I135" s="362"/>
      <c r="J135" s="609"/>
      <c r="K135" s="609"/>
      <c r="L135" s="609"/>
      <c r="M135" s="609"/>
      <c r="Q135" s="16"/>
      <c r="R135" s="29"/>
      <c r="T135" s="29"/>
      <c r="U135" s="29"/>
    </row>
    <row r="136" spans="2:21" ht="12.75" customHeight="1">
      <c r="B136" s="642" t="s">
        <v>11</v>
      </c>
      <c r="C136" s="452">
        <v>21000</v>
      </c>
      <c r="D136" s="437">
        <v>68390</v>
      </c>
      <c r="E136" s="448">
        <f>C136</f>
        <v>21000</v>
      </c>
      <c r="F136" s="448">
        <v>63713</v>
      </c>
      <c r="G136" s="437">
        <v>25000</v>
      </c>
      <c r="H136" s="437">
        <v>10525</v>
      </c>
      <c r="I136" s="437">
        <v>11115</v>
      </c>
      <c r="J136" s="766">
        <v>40000</v>
      </c>
      <c r="K136" s="766">
        <v>40000</v>
      </c>
      <c r="L136" s="766">
        <v>6710</v>
      </c>
      <c r="M136" s="766"/>
      <c r="P136" s="356"/>
      <c r="Q136" s="16"/>
      <c r="R136" s="29"/>
      <c r="T136" s="29"/>
      <c r="U136" s="29"/>
    </row>
    <row r="137" spans="2:21" ht="12.75" customHeight="1" hidden="1">
      <c r="B137" s="643" t="s">
        <v>199</v>
      </c>
      <c r="C137" s="430"/>
      <c r="D137" s="398"/>
      <c r="E137" s="397"/>
      <c r="F137" s="397"/>
      <c r="G137" s="398"/>
      <c r="H137" s="398"/>
      <c r="I137" s="399"/>
      <c r="J137" s="757"/>
      <c r="K137" s="757"/>
      <c r="L137" s="757"/>
      <c r="M137" s="757"/>
      <c r="P137" s="357"/>
      <c r="Q137" s="16"/>
      <c r="R137" s="29"/>
      <c r="T137" s="29"/>
      <c r="U137" s="29"/>
    </row>
    <row r="138" spans="2:21" ht="12.75" customHeight="1" hidden="1">
      <c r="B138" s="643" t="s">
        <v>200</v>
      </c>
      <c r="C138" s="430"/>
      <c r="D138" s="398"/>
      <c r="E138" s="595">
        <v>197957</v>
      </c>
      <c r="F138" s="595">
        <v>197957</v>
      </c>
      <c r="G138" s="398"/>
      <c r="H138" s="398"/>
      <c r="I138" s="399"/>
      <c r="J138" s="757"/>
      <c r="K138" s="757"/>
      <c r="L138" s="757"/>
      <c r="M138" s="757"/>
      <c r="P138" s="357"/>
      <c r="Q138" s="16"/>
      <c r="R138" s="29"/>
      <c r="T138" s="29"/>
      <c r="U138" s="29"/>
    </row>
    <row r="139" spans="2:21" ht="14.25" thickBot="1">
      <c r="B139" s="553" t="s">
        <v>4</v>
      </c>
      <c r="C139" s="554">
        <v>593340</v>
      </c>
      <c r="D139" s="555">
        <v>566000</v>
      </c>
      <c r="E139" s="556">
        <f>C139+486+140800</f>
        <v>734626</v>
      </c>
      <c r="F139" s="556">
        <v>734626</v>
      </c>
      <c r="G139" s="555">
        <v>926155</v>
      </c>
      <c r="H139" s="555">
        <v>380595</v>
      </c>
      <c r="I139" s="555">
        <v>456714</v>
      </c>
      <c r="J139" s="781">
        <v>875247</v>
      </c>
      <c r="K139" s="781">
        <v>875247</v>
      </c>
      <c r="L139" s="781">
        <v>295556</v>
      </c>
      <c r="M139" s="807">
        <f>L139/K139</f>
        <v>0.3376829626379753</v>
      </c>
      <c r="P139" s="359"/>
      <c r="Q139" s="28"/>
      <c r="R139" s="29"/>
      <c r="T139" s="29"/>
      <c r="U139" s="29"/>
    </row>
    <row r="140" spans="1:21" s="11" customFormat="1" ht="14.25" thickBot="1">
      <c r="A140" s="124"/>
      <c r="B140" s="460" t="s">
        <v>5</v>
      </c>
      <c r="C140" s="373">
        <f aca="true" t="shared" si="11" ref="C140:J140">SUM(C136:C139)</f>
        <v>614340</v>
      </c>
      <c r="D140" s="360">
        <f t="shared" si="11"/>
        <v>634390</v>
      </c>
      <c r="E140" s="371">
        <f t="shared" si="11"/>
        <v>953583</v>
      </c>
      <c r="F140" s="371">
        <f t="shared" si="11"/>
        <v>996296</v>
      </c>
      <c r="G140" s="360">
        <f t="shared" si="11"/>
        <v>951155</v>
      </c>
      <c r="H140" s="360">
        <f t="shared" si="11"/>
        <v>391120</v>
      </c>
      <c r="I140" s="372">
        <f t="shared" si="11"/>
        <v>467829</v>
      </c>
      <c r="J140" s="780">
        <f t="shared" si="11"/>
        <v>915247</v>
      </c>
      <c r="K140" s="780">
        <f>SUM(K136:K139)</f>
        <v>915247</v>
      </c>
      <c r="L140" s="780">
        <f>SUM(L136:L139)</f>
        <v>302266</v>
      </c>
      <c r="M140" s="780">
        <f>SUM(M136:M139)</f>
        <v>0.3376829626379753</v>
      </c>
      <c r="P140" s="124"/>
      <c r="Q140" s="16"/>
      <c r="R140" s="52"/>
      <c r="S140" s="500"/>
      <c r="T140" s="52"/>
      <c r="U140" s="52"/>
    </row>
    <row r="141" spans="2:21" ht="7.5" customHeight="1" thickBot="1">
      <c r="B141" s="20"/>
      <c r="D141" s="362"/>
      <c r="G141" s="362"/>
      <c r="H141" s="362"/>
      <c r="I141" s="362"/>
      <c r="K141" s="777"/>
      <c r="L141" s="777"/>
      <c r="M141" s="777"/>
      <c r="Q141" s="16"/>
      <c r="R141" s="29"/>
      <c r="T141" s="29"/>
      <c r="U141" s="29"/>
    </row>
    <row r="142" spans="2:21" ht="15" thickBot="1" thickTop="1">
      <c r="B142" s="340" t="s">
        <v>168</v>
      </c>
      <c r="C142" s="341"/>
      <c r="D142" s="343">
        <f aca="true" t="shared" si="12" ref="D142:J142">D140-D133</f>
        <v>132904</v>
      </c>
      <c r="E142" s="343">
        <f t="shared" si="12"/>
        <v>0</v>
      </c>
      <c r="F142" s="343">
        <f t="shared" si="12"/>
        <v>112330</v>
      </c>
      <c r="G142" s="343">
        <f t="shared" si="12"/>
        <v>0</v>
      </c>
      <c r="H142" s="343">
        <f t="shared" si="12"/>
        <v>116302</v>
      </c>
      <c r="I142" s="343">
        <f t="shared" si="12"/>
        <v>162768</v>
      </c>
      <c r="J142" s="776">
        <f t="shared" si="12"/>
        <v>0</v>
      </c>
      <c r="K142" s="776">
        <f>K140-K133</f>
        <v>0</v>
      </c>
      <c r="L142" s="776">
        <f>L140-L133</f>
        <v>136911</v>
      </c>
      <c r="M142" s="776">
        <f>M140-M133</f>
        <v>0.3376829626379753</v>
      </c>
      <c r="Q142" s="16"/>
      <c r="R142" s="29"/>
      <c r="T142" s="29"/>
      <c r="U142" s="29"/>
    </row>
    <row r="143" spans="2:21" ht="14.25" thickTop="1">
      <c r="B143" s="20"/>
      <c r="G143" s="362"/>
      <c r="H143" s="362"/>
      <c r="I143" s="362"/>
      <c r="Q143" s="16"/>
      <c r="R143" s="29"/>
      <c r="T143" s="29"/>
      <c r="U143" s="29"/>
    </row>
    <row r="144" spans="2:21" ht="18" thickBot="1">
      <c r="B144" s="875" t="s">
        <v>15</v>
      </c>
      <c r="C144" s="875"/>
      <c r="D144" s="875"/>
      <c r="E144" s="875"/>
      <c r="F144" s="875"/>
      <c r="G144" s="875"/>
      <c r="H144" s="875"/>
      <c r="I144" s="875"/>
      <c r="J144" s="875"/>
      <c r="K144" s="875"/>
      <c r="L144" s="875"/>
      <c r="M144" s="875"/>
      <c r="N144" s="875"/>
      <c r="O144" s="875"/>
      <c r="Q144" s="16"/>
      <c r="R144" s="29"/>
      <c r="T144" s="29"/>
      <c r="U144" s="29"/>
    </row>
    <row r="145" spans="2:21" ht="27.75">
      <c r="B145" s="454" t="s">
        <v>0</v>
      </c>
      <c r="C145" s="93" t="s">
        <v>299</v>
      </c>
      <c r="D145" s="350" t="s">
        <v>137</v>
      </c>
      <c r="E145" s="93" t="s">
        <v>299</v>
      </c>
      <c r="F145" s="350" t="s">
        <v>137</v>
      </c>
      <c r="G145" s="93" t="s">
        <v>299</v>
      </c>
      <c r="H145" s="350" t="s">
        <v>338</v>
      </c>
      <c r="I145" s="350" t="s">
        <v>338</v>
      </c>
      <c r="J145" s="749" t="s">
        <v>411</v>
      </c>
      <c r="K145" s="749" t="s">
        <v>412</v>
      </c>
      <c r="L145" s="794" t="s">
        <v>414</v>
      </c>
      <c r="M145" s="181" t="s">
        <v>415</v>
      </c>
      <c r="N145" s="1"/>
      <c r="O145" s="41"/>
      <c r="P145" s="351" t="s">
        <v>136</v>
      </c>
      <c r="Q145" s="16"/>
      <c r="R145" s="29"/>
      <c r="T145" s="29"/>
      <c r="U145" s="29"/>
    </row>
    <row r="146" spans="2:21" ht="15.75" thickBot="1">
      <c r="B146" s="470"/>
      <c r="C146" s="539">
        <v>2015</v>
      </c>
      <c r="D146" s="353">
        <v>2015</v>
      </c>
      <c r="E146" s="540">
        <v>2016</v>
      </c>
      <c r="F146" s="540">
        <v>2016</v>
      </c>
      <c r="G146" s="353">
        <v>2017</v>
      </c>
      <c r="H146" s="418" t="s">
        <v>339</v>
      </c>
      <c r="I146" s="418" t="s">
        <v>359</v>
      </c>
      <c r="J146" s="395" t="s">
        <v>300</v>
      </c>
      <c r="K146" s="395" t="s">
        <v>300</v>
      </c>
      <c r="L146" s="863">
        <v>43191</v>
      </c>
      <c r="M146" s="182"/>
      <c r="N146" s="1"/>
      <c r="O146" s="41"/>
      <c r="P146" s="355"/>
      <c r="Q146" s="16"/>
      <c r="R146" s="29"/>
      <c r="T146" s="29"/>
      <c r="U146" s="29"/>
    </row>
    <row r="147" spans="2:21" ht="13.5">
      <c r="B147" s="471" t="s">
        <v>315</v>
      </c>
      <c r="C147" s="467">
        <v>95000</v>
      </c>
      <c r="D147" s="437">
        <v>47883</v>
      </c>
      <c r="E147" s="448">
        <v>60000</v>
      </c>
      <c r="F147" s="448">
        <v>42131</v>
      </c>
      <c r="G147" s="437">
        <v>60000</v>
      </c>
      <c r="H147" s="437">
        <v>33283</v>
      </c>
      <c r="I147" s="437">
        <v>37588</v>
      </c>
      <c r="J147" s="766">
        <v>60000</v>
      </c>
      <c r="K147" s="766">
        <v>60000</v>
      </c>
      <c r="L147" s="766">
        <v>14198</v>
      </c>
      <c r="M147" s="800">
        <f>L147/K147</f>
        <v>0.23663333333333333</v>
      </c>
      <c r="N147" s="31"/>
      <c r="O147" s="10"/>
      <c r="P147" s="356"/>
      <c r="Q147" s="16"/>
      <c r="R147" s="29"/>
      <c r="T147" s="29"/>
      <c r="U147" s="29"/>
    </row>
    <row r="148" spans="2:21" ht="13.5">
      <c r="B148" s="472" t="s">
        <v>314</v>
      </c>
      <c r="C148" s="468"/>
      <c r="D148" s="398">
        <v>2902</v>
      </c>
      <c r="E148" s="397">
        <v>5000</v>
      </c>
      <c r="F148" s="397">
        <v>4116</v>
      </c>
      <c r="G148" s="398">
        <v>5000</v>
      </c>
      <c r="H148" s="398">
        <v>1152</v>
      </c>
      <c r="I148" s="398">
        <v>1536</v>
      </c>
      <c r="J148" s="757">
        <v>5000</v>
      </c>
      <c r="K148" s="757">
        <v>5000</v>
      </c>
      <c r="L148" s="757">
        <v>-3138</v>
      </c>
      <c r="M148" s="801">
        <f>L148/K148</f>
        <v>-0.6276</v>
      </c>
      <c r="N148" s="31"/>
      <c r="O148" s="10"/>
      <c r="P148" s="357"/>
      <c r="Q148" s="16"/>
      <c r="R148" s="29"/>
      <c r="T148" s="29"/>
      <c r="U148" s="29"/>
    </row>
    <row r="149" spans="2:21" ht="13.5">
      <c r="B149" s="478" t="s">
        <v>313</v>
      </c>
      <c r="C149" s="479"/>
      <c r="D149" s="423">
        <v>13904</v>
      </c>
      <c r="E149" s="422">
        <v>30000</v>
      </c>
      <c r="F149" s="422">
        <v>12739</v>
      </c>
      <c r="G149" s="423">
        <v>20000</v>
      </c>
      <c r="H149" s="423">
        <v>7156</v>
      </c>
      <c r="I149" s="423">
        <v>7506</v>
      </c>
      <c r="J149" s="782">
        <v>20000</v>
      </c>
      <c r="K149" s="782">
        <v>20000</v>
      </c>
      <c r="L149" s="782">
        <v>0</v>
      </c>
      <c r="M149" s="802">
        <f aca="true" t="shared" si="13" ref="M149:M159">L149/K149</f>
        <v>0</v>
      </c>
      <c r="N149" s="31"/>
      <c r="O149" s="10"/>
      <c r="P149" s="357"/>
      <c r="Q149" s="16"/>
      <c r="R149" s="29"/>
      <c r="T149" s="29"/>
      <c r="U149" s="29"/>
    </row>
    <row r="150" spans="2:21" ht="13.5">
      <c r="B150" s="476" t="s">
        <v>1</v>
      </c>
      <c r="C150" s="477">
        <v>25000</v>
      </c>
      <c r="D150" s="411">
        <v>800</v>
      </c>
      <c r="E150" s="410">
        <f>C150</f>
        <v>25000</v>
      </c>
      <c r="F150" s="410">
        <v>1990</v>
      </c>
      <c r="G150" s="411">
        <v>10000</v>
      </c>
      <c r="H150" s="411">
        <v>0</v>
      </c>
      <c r="I150" s="411"/>
      <c r="J150" s="754">
        <f>10000-5000</f>
        <v>5000</v>
      </c>
      <c r="K150" s="754">
        <f>10000-5000</f>
        <v>5000</v>
      </c>
      <c r="L150" s="754">
        <v>2481</v>
      </c>
      <c r="M150" s="800">
        <f t="shared" si="13"/>
        <v>0.4962</v>
      </c>
      <c r="N150" s="31"/>
      <c r="O150" s="10"/>
      <c r="P150" s="357"/>
      <c r="Q150" s="16"/>
      <c r="R150" s="29"/>
      <c r="T150" s="29"/>
      <c r="U150" s="29"/>
    </row>
    <row r="151" spans="2:21" ht="13.5">
      <c r="B151" s="473" t="s">
        <v>8</v>
      </c>
      <c r="C151" s="468">
        <v>36000</v>
      </c>
      <c r="D151" s="398">
        <v>39835</v>
      </c>
      <c r="E151" s="397">
        <f aca="true" t="shared" si="14" ref="E151:E158">C151</f>
        <v>36000</v>
      </c>
      <c r="F151" s="397">
        <v>80846</v>
      </c>
      <c r="G151" s="398">
        <v>50000</v>
      </c>
      <c r="H151" s="398">
        <v>5787</v>
      </c>
      <c r="I151" s="398">
        <v>6789</v>
      </c>
      <c r="J151" s="757">
        <v>50000</v>
      </c>
      <c r="K151" s="757">
        <v>50000</v>
      </c>
      <c r="L151" s="757">
        <v>-38677</v>
      </c>
      <c r="M151" s="801">
        <f t="shared" si="13"/>
        <v>-0.77354</v>
      </c>
      <c r="N151" s="31"/>
      <c r="O151" s="10"/>
      <c r="P151" s="357"/>
      <c r="Q151" s="16"/>
      <c r="R151" s="29"/>
      <c r="T151" s="29"/>
      <c r="U151" s="29"/>
    </row>
    <row r="152" spans="2:21" ht="13.5">
      <c r="B152" s="473" t="s">
        <v>9</v>
      </c>
      <c r="C152" s="468">
        <v>1000</v>
      </c>
      <c r="D152" s="398">
        <v>94</v>
      </c>
      <c r="E152" s="397">
        <f t="shared" si="14"/>
        <v>1000</v>
      </c>
      <c r="F152" s="397">
        <v>346</v>
      </c>
      <c r="G152" s="398">
        <v>15000</v>
      </c>
      <c r="H152" s="398">
        <v>201</v>
      </c>
      <c r="I152" s="399">
        <v>396</v>
      </c>
      <c r="J152" s="757">
        <f>15000-5000</f>
        <v>10000</v>
      </c>
      <c r="K152" s="757">
        <f>15000-5000</f>
        <v>10000</v>
      </c>
      <c r="L152" s="757">
        <v>0</v>
      </c>
      <c r="M152" s="801">
        <f t="shared" si="13"/>
        <v>0</v>
      </c>
      <c r="N152" s="31"/>
      <c r="O152" s="10"/>
      <c r="P152" s="357"/>
      <c r="Q152" s="16"/>
      <c r="R152" s="29"/>
      <c r="T152" s="29"/>
      <c r="U152" s="29"/>
    </row>
    <row r="153" spans="2:21" ht="13.5">
      <c r="B153" s="473" t="s">
        <v>16</v>
      </c>
      <c r="C153" s="468">
        <v>311000</v>
      </c>
      <c r="D153" s="398">
        <f>331542-68926+37020</f>
        <v>299636</v>
      </c>
      <c r="E153" s="397">
        <f t="shared" si="14"/>
        <v>311000</v>
      </c>
      <c r="F153" s="397">
        <v>140614</v>
      </c>
      <c r="G153" s="398">
        <v>250000</v>
      </c>
      <c r="H153" s="398">
        <v>17766</v>
      </c>
      <c r="I153" s="399">
        <v>34327</v>
      </c>
      <c r="J153" s="757">
        <f>250000-50000</f>
        <v>200000</v>
      </c>
      <c r="K153" s="757">
        <f>250000-50000</f>
        <v>200000</v>
      </c>
      <c r="L153" s="757">
        <f>25106-L155-L156-L157-L158</f>
        <v>11212</v>
      </c>
      <c r="M153" s="801">
        <f t="shared" si="13"/>
        <v>0.05606</v>
      </c>
      <c r="N153" s="31"/>
      <c r="O153" s="10"/>
      <c r="P153" s="357"/>
      <c r="Q153" s="124" t="s">
        <v>174</v>
      </c>
      <c r="R153" s="29"/>
      <c r="S153" s="516" t="s">
        <v>291</v>
      </c>
      <c r="T153" s="29"/>
      <c r="U153" s="29"/>
    </row>
    <row r="154" spans="2:21" ht="13.5" hidden="1">
      <c r="B154" s="473" t="s">
        <v>57</v>
      </c>
      <c r="C154" s="468">
        <v>2500</v>
      </c>
      <c r="D154" s="398">
        <v>2110</v>
      </c>
      <c r="E154" s="397">
        <f t="shared" si="14"/>
        <v>2500</v>
      </c>
      <c r="F154" s="397">
        <v>0</v>
      </c>
      <c r="G154" s="398"/>
      <c r="H154" s="398"/>
      <c r="I154" s="398"/>
      <c r="J154" s="757">
        <v>0</v>
      </c>
      <c r="K154" s="757">
        <v>0</v>
      </c>
      <c r="L154" s="757"/>
      <c r="M154" s="801" t="e">
        <f t="shared" si="13"/>
        <v>#DIV/0!</v>
      </c>
      <c r="N154" s="31"/>
      <c r="O154" s="10"/>
      <c r="P154" s="357"/>
      <c r="Q154" s="53"/>
      <c r="R154" s="29"/>
      <c r="T154" s="29"/>
      <c r="U154" s="29"/>
    </row>
    <row r="155" spans="1:21" ht="13.5">
      <c r="A155" s="124">
        <v>1315</v>
      </c>
      <c r="B155" s="473" t="s">
        <v>427</v>
      </c>
      <c r="C155" s="468">
        <v>25000</v>
      </c>
      <c r="D155" s="398">
        <v>30675</v>
      </c>
      <c r="E155" s="397">
        <f t="shared" si="14"/>
        <v>25000</v>
      </c>
      <c r="F155" s="397">
        <v>3754</v>
      </c>
      <c r="G155" s="398">
        <v>66000</v>
      </c>
      <c r="H155" s="398">
        <v>14826</v>
      </c>
      <c r="I155" s="399">
        <v>14826</v>
      </c>
      <c r="J155" s="757">
        <v>66000</v>
      </c>
      <c r="K155" s="757">
        <v>66000</v>
      </c>
      <c r="L155" s="757">
        <v>200</v>
      </c>
      <c r="M155" s="801">
        <f t="shared" si="13"/>
        <v>0.0030303030303030303</v>
      </c>
      <c r="N155" s="31"/>
      <c r="O155" s="10"/>
      <c r="P155" s="357"/>
      <c r="Q155" s="53">
        <f>J155</f>
        <v>66000</v>
      </c>
      <c r="R155" s="29"/>
      <c r="S155" s="515">
        <v>41000</v>
      </c>
      <c r="T155" s="29"/>
      <c r="U155" s="29"/>
    </row>
    <row r="156" spans="1:21" ht="13.5">
      <c r="A156" s="124">
        <v>1309</v>
      </c>
      <c r="B156" s="473" t="s">
        <v>428</v>
      </c>
      <c r="C156" s="468">
        <v>20000</v>
      </c>
      <c r="D156" s="398">
        <v>124373</v>
      </c>
      <c r="E156" s="397">
        <f t="shared" si="14"/>
        <v>20000</v>
      </c>
      <c r="F156" s="397">
        <v>127566</v>
      </c>
      <c r="G156" s="398">
        <v>135000</v>
      </c>
      <c r="H156" s="398">
        <v>38163</v>
      </c>
      <c r="I156" s="399">
        <v>55745</v>
      </c>
      <c r="J156" s="757">
        <v>135000</v>
      </c>
      <c r="K156" s="757">
        <v>135000</v>
      </c>
      <c r="L156" s="757">
        <v>13694</v>
      </c>
      <c r="M156" s="801">
        <f t="shared" si="13"/>
        <v>0.10143703703703703</v>
      </c>
      <c r="N156" s="31"/>
      <c r="O156" s="10"/>
      <c r="P156" s="357"/>
      <c r="Q156" s="53">
        <f>J156</f>
        <v>135000</v>
      </c>
      <c r="R156" s="29"/>
      <c r="S156" s="515">
        <v>95000</v>
      </c>
      <c r="T156" s="29"/>
      <c r="U156" s="29"/>
    </row>
    <row r="157" spans="1:21" ht="13.5">
      <c r="A157" s="124">
        <v>1327</v>
      </c>
      <c r="B157" s="473" t="s">
        <v>429</v>
      </c>
      <c r="C157" s="468">
        <v>15000</v>
      </c>
      <c r="D157" s="398">
        <v>14748</v>
      </c>
      <c r="E157" s="397">
        <f t="shared" si="14"/>
        <v>15000</v>
      </c>
      <c r="F157" s="397">
        <v>15574</v>
      </c>
      <c r="G157" s="398">
        <v>20000</v>
      </c>
      <c r="H157" s="398">
        <v>1005</v>
      </c>
      <c r="I157" s="399">
        <v>2797</v>
      </c>
      <c r="J157" s="757">
        <v>30000</v>
      </c>
      <c r="K157" s="757">
        <v>30000</v>
      </c>
      <c r="L157" s="757">
        <v>0</v>
      </c>
      <c r="M157" s="801">
        <f t="shared" si="13"/>
        <v>0</v>
      </c>
      <c r="N157" s="31"/>
      <c r="O157" s="10"/>
      <c r="P157" s="357"/>
      <c r="Q157" s="53">
        <f>J157</f>
        <v>30000</v>
      </c>
      <c r="R157" s="29"/>
      <c r="S157" s="515"/>
      <c r="T157" s="29"/>
      <c r="U157" s="29"/>
    </row>
    <row r="158" spans="1:21" ht="13.5">
      <c r="A158" s="124">
        <v>1317</v>
      </c>
      <c r="B158" s="473" t="s">
        <v>403</v>
      </c>
      <c r="C158" s="468">
        <v>30000</v>
      </c>
      <c r="D158" s="398"/>
      <c r="E158" s="397">
        <f t="shared" si="14"/>
        <v>30000</v>
      </c>
      <c r="F158" s="397">
        <v>39066</v>
      </c>
      <c r="G158" s="398">
        <v>32000</v>
      </c>
      <c r="H158" s="398">
        <v>0</v>
      </c>
      <c r="I158" s="399">
        <v>0</v>
      </c>
      <c r="J158" s="757">
        <v>32000</v>
      </c>
      <c r="K158" s="757">
        <v>32000</v>
      </c>
      <c r="L158" s="757">
        <v>0</v>
      </c>
      <c r="M158" s="801">
        <f t="shared" si="13"/>
        <v>0</v>
      </c>
      <c r="N158" s="31"/>
      <c r="O158" s="10"/>
      <c r="P158" s="357"/>
      <c r="Q158" s="53">
        <f>J158</f>
        <v>32000</v>
      </c>
      <c r="R158" s="29"/>
      <c r="S158" s="515">
        <v>12000</v>
      </c>
      <c r="T158" s="29"/>
      <c r="U158" s="29"/>
    </row>
    <row r="159" spans="2:21" ht="14.25" thickBot="1">
      <c r="B159" s="557" t="s">
        <v>10</v>
      </c>
      <c r="C159" s="558">
        <v>751129</v>
      </c>
      <c r="D159" s="551">
        <v>731469</v>
      </c>
      <c r="E159" s="552">
        <v>753477</v>
      </c>
      <c r="F159" s="552">
        <v>703845</v>
      </c>
      <c r="G159" s="551">
        <v>961688</v>
      </c>
      <c r="H159" s="551">
        <v>334787</v>
      </c>
      <c r="I159" s="551">
        <v>418880</v>
      </c>
      <c r="J159" s="779">
        <v>1131691</v>
      </c>
      <c r="K159" s="779">
        <v>1131691</v>
      </c>
      <c r="L159" s="779">
        <v>333037</v>
      </c>
      <c r="M159" s="822">
        <f t="shared" si="13"/>
        <v>0.2942826266180433</v>
      </c>
      <c r="N159" s="31"/>
      <c r="O159" s="10"/>
      <c r="P159" s="359"/>
      <c r="Q159" s="16"/>
      <c r="R159" s="29"/>
      <c r="S159" s="515"/>
      <c r="T159" s="29"/>
      <c r="U159" s="29"/>
    </row>
    <row r="160" spans="1:21" s="11" customFormat="1" ht="14.25" thickBot="1">
      <c r="A160" s="124"/>
      <c r="B160" s="475" t="s">
        <v>2</v>
      </c>
      <c r="C160" s="331">
        <f aca="true" t="shared" si="15" ref="C160:J160">SUM(C147:C159)</f>
        <v>1311629</v>
      </c>
      <c r="D160" s="365">
        <f t="shared" si="15"/>
        <v>1308429</v>
      </c>
      <c r="E160" s="77">
        <f t="shared" si="15"/>
        <v>1313977</v>
      </c>
      <c r="F160" s="77">
        <f t="shared" si="15"/>
        <v>1172587</v>
      </c>
      <c r="G160" s="365">
        <f t="shared" si="15"/>
        <v>1624688</v>
      </c>
      <c r="H160" s="365">
        <f t="shared" si="15"/>
        <v>454126</v>
      </c>
      <c r="I160" s="365">
        <f t="shared" si="15"/>
        <v>580390</v>
      </c>
      <c r="J160" s="783">
        <f t="shared" si="15"/>
        <v>1744691</v>
      </c>
      <c r="K160" s="783">
        <f>SUM(K147:K159)</f>
        <v>1744691</v>
      </c>
      <c r="L160" s="783">
        <f>SUM(L147:L159)</f>
        <v>333007</v>
      </c>
      <c r="M160" s="780"/>
      <c r="N160" s="51"/>
      <c r="O160" s="83"/>
      <c r="P160" s="124"/>
      <c r="Q160" s="511">
        <f>SUM(Q154:Q159)</f>
        <v>263000</v>
      </c>
      <c r="R160" s="52"/>
      <c r="S160" s="519">
        <f>SUM(S155:S159)</f>
        <v>148000</v>
      </c>
      <c r="T160" s="52"/>
      <c r="U160" s="52"/>
    </row>
    <row r="161" spans="2:21" ht="15.75" thickBot="1">
      <c r="B161" s="21"/>
      <c r="C161" s="23"/>
      <c r="D161" s="23"/>
      <c r="E161" s="22"/>
      <c r="F161" s="22"/>
      <c r="G161" s="362"/>
      <c r="H161" s="362"/>
      <c r="I161" s="362"/>
      <c r="K161" s="777"/>
      <c r="L161" s="777"/>
      <c r="M161" s="777"/>
      <c r="N161" s="31"/>
      <c r="O161" s="10"/>
      <c r="Q161" s="29"/>
      <c r="R161" s="29"/>
      <c r="T161" s="29"/>
      <c r="U161" s="29"/>
    </row>
    <row r="162" spans="2:21" ht="15.75" thickBot="1">
      <c r="B162" s="24" t="s">
        <v>3</v>
      </c>
      <c r="C162" s="23"/>
      <c r="D162" s="23"/>
      <c r="E162" s="22"/>
      <c r="F162" s="22"/>
      <c r="G162" s="362"/>
      <c r="H162" s="362"/>
      <c r="I162" s="362"/>
      <c r="K162" s="777"/>
      <c r="L162" s="777"/>
      <c r="M162" s="777"/>
      <c r="N162" s="31"/>
      <c r="O162" s="10"/>
      <c r="Q162" s="135"/>
      <c r="R162" s="29"/>
      <c r="T162" s="29"/>
      <c r="U162" s="29"/>
    </row>
    <row r="163" spans="2:21" ht="13.5">
      <c r="B163" s="471" t="s">
        <v>11</v>
      </c>
      <c r="C163" s="467">
        <v>265000</v>
      </c>
      <c r="D163" s="437">
        <v>421110</v>
      </c>
      <c r="E163" s="448">
        <f>C163</f>
        <v>265000</v>
      </c>
      <c r="F163" s="448">
        <v>272081</v>
      </c>
      <c r="G163" s="437">
        <v>345000</v>
      </c>
      <c r="H163" s="437">
        <v>73907</v>
      </c>
      <c r="I163" s="596">
        <v>102187</v>
      </c>
      <c r="J163" s="766">
        <v>380000</v>
      </c>
      <c r="K163" s="766">
        <v>380000</v>
      </c>
      <c r="L163" s="766">
        <v>22425</v>
      </c>
      <c r="M163" s="813">
        <f>L163/K163</f>
        <v>0.059013157894736844</v>
      </c>
      <c r="N163" s="31"/>
      <c r="O163" s="10"/>
      <c r="P163" s="356"/>
      <c r="Q163" s="29"/>
      <c r="R163" s="16" t="s">
        <v>263</v>
      </c>
      <c r="T163" s="29"/>
      <c r="U163" s="29"/>
    </row>
    <row r="164" spans="2:21" ht="13.5" hidden="1">
      <c r="B164" s="476" t="s">
        <v>227</v>
      </c>
      <c r="C164" s="477"/>
      <c r="D164" s="411"/>
      <c r="E164" s="410"/>
      <c r="F164" s="410"/>
      <c r="G164" s="411"/>
      <c r="H164" s="411"/>
      <c r="I164" s="412"/>
      <c r="J164" s="754"/>
      <c r="K164" s="754"/>
      <c r="L164" s="754"/>
      <c r="M164" s="814" t="e">
        <f>L164/K164</f>
        <v>#DIV/0!</v>
      </c>
      <c r="N164" s="31"/>
      <c r="O164" s="10"/>
      <c r="P164" s="414"/>
      <c r="Q164" s="29"/>
      <c r="R164" s="29"/>
      <c r="T164" s="29"/>
      <c r="U164" s="29"/>
    </row>
    <row r="165" spans="2:21" ht="13.5">
      <c r="B165" s="476" t="s">
        <v>12</v>
      </c>
      <c r="C165" s="477"/>
      <c r="D165" s="411"/>
      <c r="E165" s="410"/>
      <c r="F165" s="410">
        <v>27276</v>
      </c>
      <c r="G165" s="411"/>
      <c r="H165" s="411"/>
      <c r="I165" s="412"/>
      <c r="J165" s="754"/>
      <c r="K165" s="754"/>
      <c r="L165" s="754"/>
      <c r="M165" s="818"/>
      <c r="N165" s="31"/>
      <c r="O165" s="10"/>
      <c r="P165" s="414"/>
      <c r="Q165" s="29"/>
      <c r="R165" s="29"/>
      <c r="T165" s="29"/>
      <c r="U165" s="29"/>
    </row>
    <row r="166" spans="2:21" ht="13.5">
      <c r="B166" s="559" t="s">
        <v>4</v>
      </c>
      <c r="C166" s="560">
        <v>954129</v>
      </c>
      <c r="D166" s="543">
        <v>899000</v>
      </c>
      <c r="E166" s="544">
        <v>956477</v>
      </c>
      <c r="F166" s="544">
        <v>956477</v>
      </c>
      <c r="G166" s="543">
        <v>1174688</v>
      </c>
      <c r="H166" s="543">
        <v>470951</v>
      </c>
      <c r="I166" s="543">
        <v>565142</v>
      </c>
      <c r="J166" s="767">
        <v>1249691</v>
      </c>
      <c r="K166" s="767">
        <v>1249691</v>
      </c>
      <c r="L166" s="767">
        <v>454896</v>
      </c>
      <c r="M166" s="815">
        <f>L166/K166</f>
        <v>0.3640067824766282</v>
      </c>
      <c r="N166" s="31"/>
      <c r="O166" s="10"/>
      <c r="P166" s="357"/>
      <c r="Q166" s="29"/>
      <c r="R166" s="29"/>
      <c r="T166" s="29"/>
      <c r="U166" s="29"/>
    </row>
    <row r="167" spans="2:21" ht="12.75" hidden="1">
      <c r="B167" s="574" t="s">
        <v>60</v>
      </c>
      <c r="C167" s="575">
        <v>2500</v>
      </c>
      <c r="D167" s="565">
        <v>2500</v>
      </c>
      <c r="E167" s="566">
        <f>C167</f>
        <v>2500</v>
      </c>
      <c r="F167" s="566">
        <v>2500</v>
      </c>
      <c r="G167" s="399"/>
      <c r="H167" s="399"/>
      <c r="I167" s="399"/>
      <c r="J167" s="770"/>
      <c r="K167" s="770"/>
      <c r="L167" s="770"/>
      <c r="M167" s="816"/>
      <c r="N167" s="31"/>
      <c r="O167" s="10"/>
      <c r="P167" s="357"/>
      <c r="Q167" s="29"/>
      <c r="R167" s="29"/>
      <c r="T167" s="29"/>
      <c r="U167" s="29"/>
    </row>
    <row r="168" spans="2:21" ht="13.5">
      <c r="B168" s="574" t="s">
        <v>329</v>
      </c>
      <c r="C168" s="575">
        <v>20000</v>
      </c>
      <c r="D168" s="565">
        <v>20000</v>
      </c>
      <c r="E168" s="566">
        <f>C168</f>
        <v>20000</v>
      </c>
      <c r="F168" s="566">
        <v>20000</v>
      </c>
      <c r="G168" s="565">
        <v>40000</v>
      </c>
      <c r="H168" s="565"/>
      <c r="I168" s="565">
        <v>28000</v>
      </c>
      <c r="J168" s="771">
        <v>40000</v>
      </c>
      <c r="K168" s="771">
        <v>40000</v>
      </c>
      <c r="L168" s="771">
        <v>10000</v>
      </c>
      <c r="M168" s="810">
        <f>L168/K168</f>
        <v>0.25</v>
      </c>
      <c r="N168" s="31"/>
      <c r="O168" s="10"/>
      <c r="P168" s="357"/>
      <c r="Q168" s="29"/>
      <c r="R168" s="16">
        <f>J168</f>
        <v>40000</v>
      </c>
      <c r="T168" s="29"/>
      <c r="U168" s="29"/>
    </row>
    <row r="169" spans="2:21" ht="13.5">
      <c r="B169" s="574" t="s">
        <v>330</v>
      </c>
      <c r="C169" s="575">
        <v>25000</v>
      </c>
      <c r="D169" s="565">
        <v>25000</v>
      </c>
      <c r="E169" s="566">
        <f>C169</f>
        <v>25000</v>
      </c>
      <c r="F169" s="566">
        <v>25000</v>
      </c>
      <c r="G169" s="565">
        <v>25000</v>
      </c>
      <c r="H169" s="565"/>
      <c r="I169" s="565"/>
      <c r="J169" s="771">
        <v>25000</v>
      </c>
      <c r="K169" s="771">
        <v>25000</v>
      </c>
      <c r="L169" s="771">
        <v>0</v>
      </c>
      <c r="M169" s="810">
        <f>L169/K169</f>
        <v>0</v>
      </c>
      <c r="N169" s="31"/>
      <c r="O169" s="10"/>
      <c r="P169" s="357"/>
      <c r="Q169" s="29"/>
      <c r="R169" s="16">
        <f>J169</f>
        <v>25000</v>
      </c>
      <c r="T169" s="29"/>
      <c r="U169" s="29"/>
    </row>
    <row r="170" spans="2:21" ht="13.5" hidden="1">
      <c r="B170" s="574" t="s">
        <v>205</v>
      </c>
      <c r="C170" s="575"/>
      <c r="D170" s="565">
        <v>80000</v>
      </c>
      <c r="E170" s="439"/>
      <c r="F170" s="439"/>
      <c r="G170" s="399"/>
      <c r="H170" s="399"/>
      <c r="I170" s="399"/>
      <c r="J170" s="770"/>
      <c r="K170" s="770"/>
      <c r="L170" s="770"/>
      <c r="M170" s="810" t="e">
        <f>L170/K170</f>
        <v>#DIV/0!</v>
      </c>
      <c r="N170" s="31"/>
      <c r="O170" s="10"/>
      <c r="P170" s="357"/>
      <c r="Q170" s="29"/>
      <c r="R170" s="16"/>
      <c r="T170" s="29"/>
      <c r="U170" s="29"/>
    </row>
    <row r="171" spans="2:21" ht="13.5">
      <c r="B171" s="574" t="s">
        <v>331</v>
      </c>
      <c r="C171" s="575">
        <v>15000</v>
      </c>
      <c r="D171" s="565" t="s">
        <v>207</v>
      </c>
      <c r="E171" s="566">
        <f>C171</f>
        <v>15000</v>
      </c>
      <c r="F171" s="566">
        <v>15000</v>
      </c>
      <c r="G171" s="565">
        <v>20000</v>
      </c>
      <c r="H171" s="565"/>
      <c r="I171" s="565"/>
      <c r="J171" s="771">
        <v>30000</v>
      </c>
      <c r="K171" s="771">
        <v>30000</v>
      </c>
      <c r="L171" s="771">
        <v>0</v>
      </c>
      <c r="M171" s="810">
        <f>L171/K171</f>
        <v>0</v>
      </c>
      <c r="N171" s="31"/>
      <c r="O171" s="10"/>
      <c r="P171" s="357"/>
      <c r="Q171" s="29"/>
      <c r="R171" s="16">
        <f>J171</f>
        <v>30000</v>
      </c>
      <c r="T171" s="29"/>
      <c r="U171" s="29"/>
    </row>
    <row r="172" spans="2:21" ht="14.25" thickBot="1">
      <c r="B172" s="572" t="s">
        <v>332</v>
      </c>
      <c r="C172" s="573">
        <v>30000</v>
      </c>
      <c r="D172" s="565"/>
      <c r="E172" s="566">
        <f>C172</f>
        <v>30000</v>
      </c>
      <c r="F172" s="566">
        <v>30000</v>
      </c>
      <c r="G172" s="565">
        <v>20000</v>
      </c>
      <c r="H172" s="565"/>
      <c r="I172" s="565"/>
      <c r="J172" s="771">
        <v>20000</v>
      </c>
      <c r="K172" s="771">
        <v>20000</v>
      </c>
      <c r="L172" s="771">
        <v>0</v>
      </c>
      <c r="M172" s="817">
        <f>L172/K172</f>
        <v>0</v>
      </c>
      <c r="N172" s="31"/>
      <c r="O172" s="10"/>
      <c r="P172" s="359"/>
      <c r="Q172" s="29"/>
      <c r="R172" s="16">
        <f>J172</f>
        <v>20000</v>
      </c>
      <c r="T172" s="29"/>
      <c r="U172" s="29"/>
    </row>
    <row r="173" spans="2:21" ht="14.25" hidden="1" thickBot="1">
      <c r="B173" s="523" t="s">
        <v>209</v>
      </c>
      <c r="C173" s="524"/>
      <c r="D173" s="408">
        <v>12500</v>
      </c>
      <c r="E173" s="482"/>
      <c r="F173" s="482"/>
      <c r="G173" s="408"/>
      <c r="H173" s="408"/>
      <c r="I173" s="408"/>
      <c r="J173" s="761"/>
      <c r="K173" s="761"/>
      <c r="L173" s="761"/>
      <c r="M173" s="812"/>
      <c r="N173" s="31"/>
      <c r="O173" s="10"/>
      <c r="P173" s="355"/>
      <c r="T173" s="29"/>
      <c r="U173" s="29"/>
    </row>
    <row r="174" spans="1:21" s="11" customFormat="1" ht="14.25" thickBot="1">
      <c r="A174" s="124"/>
      <c r="B174" s="490" t="s">
        <v>5</v>
      </c>
      <c r="C174" s="173">
        <f aca="true" t="shared" si="16" ref="C174:J174">SUM(C163:C173)</f>
        <v>1311629</v>
      </c>
      <c r="D174" s="360">
        <f t="shared" si="16"/>
        <v>1460110</v>
      </c>
      <c r="E174" s="149">
        <f t="shared" si="16"/>
        <v>1313977</v>
      </c>
      <c r="F174" s="149">
        <f t="shared" si="16"/>
        <v>1348334</v>
      </c>
      <c r="G174" s="360">
        <f t="shared" si="16"/>
        <v>1624688</v>
      </c>
      <c r="H174" s="360">
        <f t="shared" si="16"/>
        <v>544858</v>
      </c>
      <c r="I174" s="360">
        <f t="shared" si="16"/>
        <v>695329</v>
      </c>
      <c r="J174" s="774">
        <f t="shared" si="16"/>
        <v>1744691</v>
      </c>
      <c r="K174" s="774">
        <f>SUM(K163:K173)</f>
        <v>1744691</v>
      </c>
      <c r="L174" s="774">
        <f>SUM(L163:L173)</f>
        <v>487321</v>
      </c>
      <c r="M174" s="774"/>
      <c r="N174" s="51"/>
      <c r="O174" s="83"/>
      <c r="P174" s="124"/>
      <c r="R174" s="510">
        <f>SUM(R168:R173)</f>
        <v>115000</v>
      </c>
      <c r="S174" s="500"/>
      <c r="T174" s="52"/>
      <c r="U174" s="52"/>
    </row>
    <row r="175" spans="1:21" s="11" customFormat="1" ht="9" customHeight="1" thickBot="1">
      <c r="A175" s="124"/>
      <c r="B175" s="137"/>
      <c r="C175" s="51"/>
      <c r="D175" s="51"/>
      <c r="E175" s="5"/>
      <c r="F175" s="5"/>
      <c r="G175" s="367"/>
      <c r="H175" s="367"/>
      <c r="I175" s="367"/>
      <c r="J175" s="609"/>
      <c r="K175" s="609"/>
      <c r="L175" s="609"/>
      <c r="M175" s="609"/>
      <c r="N175" s="51"/>
      <c r="O175" s="83"/>
      <c r="P175" s="124"/>
      <c r="S175" s="500"/>
      <c r="T175" s="52"/>
      <c r="U175" s="52"/>
    </row>
    <row r="176" spans="1:21" s="11" customFormat="1" ht="15" thickBot="1" thickTop="1">
      <c r="A176" s="124"/>
      <c r="B176" s="340" t="s">
        <v>169</v>
      </c>
      <c r="C176" s="341"/>
      <c r="D176" s="343">
        <f aca="true" t="shared" si="17" ref="D176:J176">D174-D160</f>
        <v>151681</v>
      </c>
      <c r="E176" s="343">
        <f t="shared" si="17"/>
        <v>0</v>
      </c>
      <c r="F176" s="343">
        <f t="shared" si="17"/>
        <v>175747</v>
      </c>
      <c r="G176" s="343">
        <f t="shared" si="17"/>
        <v>0</v>
      </c>
      <c r="H176" s="343">
        <f t="shared" si="17"/>
        <v>90732</v>
      </c>
      <c r="I176" s="343">
        <f t="shared" si="17"/>
        <v>114939</v>
      </c>
      <c r="J176" s="776">
        <f t="shared" si="17"/>
        <v>0</v>
      </c>
      <c r="K176" s="776">
        <f>K174-K160</f>
        <v>0</v>
      </c>
      <c r="L176" s="776">
        <f>L174-L160</f>
        <v>154314</v>
      </c>
      <c r="M176" s="776"/>
      <c r="N176" s="51"/>
      <c r="O176" s="83"/>
      <c r="P176" s="124"/>
      <c r="S176" s="500"/>
      <c r="T176" s="52"/>
      <c r="U176" s="52"/>
    </row>
    <row r="177" spans="1:21" s="11" customFormat="1" ht="14.25" thickTop="1">
      <c r="A177" s="124"/>
      <c r="B177" s="137"/>
      <c r="C177" s="51"/>
      <c r="D177" s="51"/>
      <c r="E177" s="5"/>
      <c r="F177" s="5"/>
      <c r="G177" s="367"/>
      <c r="H177" s="367"/>
      <c r="I177" s="367"/>
      <c r="J177" s="609"/>
      <c r="K177" s="85"/>
      <c r="L177" s="85"/>
      <c r="M177" s="85"/>
      <c r="N177" s="51"/>
      <c r="O177" s="83"/>
      <c r="P177" s="124"/>
      <c r="S177" s="500"/>
      <c r="T177" s="52"/>
      <c r="U177" s="52"/>
    </row>
    <row r="178" spans="1:21" s="6" customFormat="1" ht="18" thickBot="1">
      <c r="A178" s="63"/>
      <c r="B178" s="875" t="s">
        <v>62</v>
      </c>
      <c r="C178" s="875"/>
      <c r="D178" s="875"/>
      <c r="E178" s="875"/>
      <c r="F178" s="875"/>
      <c r="G178" s="875"/>
      <c r="H178" s="875"/>
      <c r="I178" s="875"/>
      <c r="J178" s="875"/>
      <c r="K178" s="875"/>
      <c r="L178" s="875"/>
      <c r="M178" s="875"/>
      <c r="N178" s="875"/>
      <c r="O178" s="875"/>
      <c r="P178" s="63"/>
      <c r="S178" s="7"/>
      <c r="T178" s="25"/>
      <c r="U178" s="25"/>
    </row>
    <row r="179" spans="1:19" s="25" customFormat="1" ht="27.75">
      <c r="A179" s="68"/>
      <c r="B179" s="454" t="s">
        <v>0</v>
      </c>
      <c r="C179" s="93" t="s">
        <v>299</v>
      </c>
      <c r="D179" s="350" t="s">
        <v>137</v>
      </c>
      <c r="E179" s="93" t="s">
        <v>299</v>
      </c>
      <c r="F179" s="350" t="s">
        <v>137</v>
      </c>
      <c r="G179" s="93" t="s">
        <v>299</v>
      </c>
      <c r="H179" s="350" t="s">
        <v>338</v>
      </c>
      <c r="I179" s="350" t="s">
        <v>338</v>
      </c>
      <c r="J179" s="749" t="s">
        <v>411</v>
      </c>
      <c r="K179" s="749" t="s">
        <v>412</v>
      </c>
      <c r="L179" s="794" t="s">
        <v>414</v>
      </c>
      <c r="M179" s="181" t="s">
        <v>415</v>
      </c>
      <c r="N179" s="1"/>
      <c r="O179" s="41"/>
      <c r="P179" s="351" t="s">
        <v>136</v>
      </c>
      <c r="S179" s="57"/>
    </row>
    <row r="180" spans="1:19" s="25" customFormat="1" ht="15.75" thickBot="1">
      <c r="A180" s="68"/>
      <c r="B180" s="455"/>
      <c r="C180" s="539">
        <v>2015</v>
      </c>
      <c r="D180" s="353">
        <v>2015</v>
      </c>
      <c r="E180" s="540">
        <v>2016</v>
      </c>
      <c r="F180" s="540">
        <v>2016</v>
      </c>
      <c r="G180" s="353">
        <v>2017</v>
      </c>
      <c r="H180" s="418" t="s">
        <v>339</v>
      </c>
      <c r="I180" s="418" t="s">
        <v>359</v>
      </c>
      <c r="J180" s="395" t="s">
        <v>300</v>
      </c>
      <c r="K180" s="395" t="s">
        <v>300</v>
      </c>
      <c r="L180" s="863">
        <v>43191</v>
      </c>
      <c r="M180" s="182"/>
      <c r="N180" s="1"/>
      <c r="O180" s="41"/>
      <c r="P180" s="355"/>
      <c r="S180" s="57"/>
    </row>
    <row r="181" spans="1:19" s="25" customFormat="1" ht="13.5">
      <c r="A181" s="68"/>
      <c r="B181" s="476" t="s">
        <v>1</v>
      </c>
      <c r="C181" s="477">
        <v>10000</v>
      </c>
      <c r="D181" s="411">
        <v>0</v>
      </c>
      <c r="E181" s="410">
        <f>C181</f>
        <v>10000</v>
      </c>
      <c r="F181" s="410">
        <v>0</v>
      </c>
      <c r="G181" s="411">
        <v>5000</v>
      </c>
      <c r="H181" s="411">
        <v>0</v>
      </c>
      <c r="I181" s="411"/>
      <c r="J181" s="754">
        <v>5000</v>
      </c>
      <c r="K181" s="754">
        <v>5000</v>
      </c>
      <c r="L181" s="754">
        <v>0</v>
      </c>
      <c r="M181" s="813">
        <f>L181/K181</f>
        <v>0</v>
      </c>
      <c r="N181" s="31"/>
      <c r="O181" s="10"/>
      <c r="P181" s="374"/>
      <c r="S181" s="57"/>
    </row>
    <row r="182" spans="1:19" s="25" customFormat="1" ht="13.5">
      <c r="A182" s="68"/>
      <c r="B182" s="473" t="s">
        <v>8</v>
      </c>
      <c r="C182" s="468">
        <v>40000</v>
      </c>
      <c r="D182" s="398">
        <v>12723</v>
      </c>
      <c r="E182" s="397">
        <f>C182</f>
        <v>40000</v>
      </c>
      <c r="F182" s="397">
        <v>71068</v>
      </c>
      <c r="G182" s="398">
        <v>20000</v>
      </c>
      <c r="H182" s="398">
        <v>12003</v>
      </c>
      <c r="I182" s="398">
        <v>1728</v>
      </c>
      <c r="J182" s="757">
        <v>20000</v>
      </c>
      <c r="K182" s="757">
        <v>20000</v>
      </c>
      <c r="L182" s="757">
        <f>13789-12686</f>
        <v>1103</v>
      </c>
      <c r="M182" s="814">
        <f>L182/K182</f>
        <v>0.05515</v>
      </c>
      <c r="N182" s="31"/>
      <c r="O182" s="10"/>
      <c r="P182" s="375"/>
      <c r="S182" s="57"/>
    </row>
    <row r="183" spans="1:19" s="25" customFormat="1" ht="13.5">
      <c r="A183" s="68"/>
      <c r="B183" s="473" t="s">
        <v>9</v>
      </c>
      <c r="C183" s="468">
        <v>1000</v>
      </c>
      <c r="D183" s="398">
        <v>115</v>
      </c>
      <c r="E183" s="397">
        <f>C183</f>
        <v>1000</v>
      </c>
      <c r="F183" s="397">
        <v>64</v>
      </c>
      <c r="G183" s="398">
        <v>5000</v>
      </c>
      <c r="H183" s="398">
        <v>3630</v>
      </c>
      <c r="I183" s="398">
        <v>3630</v>
      </c>
      <c r="J183" s="757">
        <v>5000</v>
      </c>
      <c r="K183" s="757">
        <v>5000</v>
      </c>
      <c r="L183" s="757">
        <v>0</v>
      </c>
      <c r="M183" s="814">
        <f aca="true" t="shared" si="18" ref="M183:M188">L183/K183</f>
        <v>0</v>
      </c>
      <c r="N183" s="31"/>
      <c r="O183" s="10"/>
      <c r="P183" s="375"/>
      <c r="S183" s="57"/>
    </row>
    <row r="184" spans="1:19" s="25" customFormat="1" ht="13.5">
      <c r="A184" s="68"/>
      <c r="B184" s="473" t="s">
        <v>16</v>
      </c>
      <c r="C184" s="468">
        <v>95000</v>
      </c>
      <c r="D184" s="398"/>
      <c r="E184" s="397">
        <f>C184</f>
        <v>95000</v>
      </c>
      <c r="F184" s="397">
        <v>3014</v>
      </c>
      <c r="G184" s="398">
        <v>22000</v>
      </c>
      <c r="H184" s="398">
        <v>3988</v>
      </c>
      <c r="I184" s="398">
        <v>6086</v>
      </c>
      <c r="J184" s="757">
        <f>22000-2000</f>
        <v>20000</v>
      </c>
      <c r="K184" s="757">
        <f>22000-2000</f>
        <v>20000</v>
      </c>
      <c r="L184" s="757">
        <f>58231-L186-L187-L188+12686</f>
        <v>4588</v>
      </c>
      <c r="M184" s="814">
        <f t="shared" si="18"/>
        <v>0.2294</v>
      </c>
      <c r="N184" s="31"/>
      <c r="O184" s="10"/>
      <c r="P184" s="375"/>
      <c r="S184" s="57"/>
    </row>
    <row r="185" spans="1:19" s="25" customFormat="1" ht="13.5">
      <c r="A185" s="68"/>
      <c r="B185" s="561" t="s">
        <v>10</v>
      </c>
      <c r="C185" s="562">
        <v>612871</v>
      </c>
      <c r="D185" s="547">
        <v>618557</v>
      </c>
      <c r="E185" s="548">
        <v>615136</v>
      </c>
      <c r="F185" s="548">
        <v>562379</v>
      </c>
      <c r="G185" s="547">
        <v>846137</v>
      </c>
      <c r="H185" s="547">
        <v>342381</v>
      </c>
      <c r="I185" s="547">
        <v>413867</v>
      </c>
      <c r="J185" s="784">
        <v>1108312</v>
      </c>
      <c r="K185" s="784">
        <v>1108312</v>
      </c>
      <c r="L185" s="784">
        <v>304286</v>
      </c>
      <c r="M185" s="820">
        <f t="shared" si="18"/>
        <v>0.2745490439515227</v>
      </c>
      <c r="N185" s="31"/>
      <c r="O185" s="10"/>
      <c r="P185" s="357"/>
      <c r="Q185" s="124" t="s">
        <v>174</v>
      </c>
      <c r="S185" s="57"/>
    </row>
    <row r="186" spans="1:19" s="25" customFormat="1" ht="13.5">
      <c r="A186" s="68">
        <v>1351</v>
      </c>
      <c r="B186" s="473" t="s">
        <v>430</v>
      </c>
      <c r="C186" s="468">
        <v>90000</v>
      </c>
      <c r="D186" s="398">
        <v>70399</v>
      </c>
      <c r="E186" s="397">
        <f>C186</f>
        <v>90000</v>
      </c>
      <c r="F186" s="397">
        <v>85637</v>
      </c>
      <c r="G186" s="398">
        <v>90000</v>
      </c>
      <c r="H186" s="398">
        <v>8800</v>
      </c>
      <c r="I186" s="398">
        <v>8800</v>
      </c>
      <c r="J186" s="757">
        <v>80000</v>
      </c>
      <c r="K186" s="757">
        <v>80000</v>
      </c>
      <c r="L186" s="757">
        <v>0</v>
      </c>
      <c r="M186" s="814">
        <f t="shared" si="18"/>
        <v>0</v>
      </c>
      <c r="N186" s="31"/>
      <c r="O186" s="10"/>
      <c r="P186" s="357"/>
      <c r="Q186" s="57">
        <f>J186</f>
        <v>80000</v>
      </c>
      <c r="S186" s="57"/>
    </row>
    <row r="187" spans="1:19" s="25" customFormat="1" ht="13.5">
      <c r="A187" s="68">
        <v>1350</v>
      </c>
      <c r="B187" s="473" t="s">
        <v>431</v>
      </c>
      <c r="C187" s="468">
        <v>30000</v>
      </c>
      <c r="D187" s="398">
        <v>16000</v>
      </c>
      <c r="E187" s="397">
        <f>C187</f>
        <v>30000</v>
      </c>
      <c r="F187" s="397">
        <v>23774</v>
      </c>
      <c r="G187" s="398">
        <v>30000</v>
      </c>
      <c r="H187" s="398">
        <v>16444</v>
      </c>
      <c r="I187" s="398">
        <v>16444</v>
      </c>
      <c r="J187" s="757">
        <v>30000</v>
      </c>
      <c r="K187" s="757">
        <v>30000</v>
      </c>
      <c r="L187" s="757">
        <v>7108</v>
      </c>
      <c r="M187" s="814">
        <f t="shared" si="18"/>
        <v>0.23693333333333333</v>
      </c>
      <c r="N187" s="31"/>
      <c r="O187" s="10"/>
      <c r="P187" s="357"/>
      <c r="Q187" s="57">
        <f>C187</f>
        <v>30000</v>
      </c>
      <c r="S187" s="57"/>
    </row>
    <row r="188" spans="1:19" s="25" customFormat="1" ht="14.25" thickBot="1">
      <c r="A188" s="68">
        <v>1352</v>
      </c>
      <c r="B188" s="493" t="s">
        <v>432</v>
      </c>
      <c r="C188" s="479">
        <v>260000</v>
      </c>
      <c r="D188" s="492">
        <v>110000</v>
      </c>
      <c r="E188" s="422">
        <f>C188</f>
        <v>260000</v>
      </c>
      <c r="F188" s="538">
        <v>236919</v>
      </c>
      <c r="G188" s="492">
        <v>200000</v>
      </c>
      <c r="H188" s="492">
        <v>49530</v>
      </c>
      <c r="I188" s="492">
        <v>62482</v>
      </c>
      <c r="J188" s="782">
        <v>180000</v>
      </c>
      <c r="K188" s="782">
        <v>180000</v>
      </c>
      <c r="L188" s="782">
        <v>59221</v>
      </c>
      <c r="M188" s="819">
        <f t="shared" si="18"/>
        <v>0.32900555555555555</v>
      </c>
      <c r="N188" s="31"/>
      <c r="O188" s="10"/>
      <c r="P188" s="359"/>
      <c r="Q188" s="57">
        <f>J188</f>
        <v>180000</v>
      </c>
      <c r="S188" s="57"/>
    </row>
    <row r="189" spans="1:19" s="25" customFormat="1" ht="14.25" thickBot="1">
      <c r="A189" s="68"/>
      <c r="B189" s="475" t="s">
        <v>2</v>
      </c>
      <c r="C189" s="173">
        <f aca="true" t="shared" si="19" ref="C189:J189">SUM(C181:C188)</f>
        <v>1138871</v>
      </c>
      <c r="D189" s="360">
        <f t="shared" si="19"/>
        <v>827794</v>
      </c>
      <c r="E189" s="149">
        <f t="shared" si="19"/>
        <v>1141136</v>
      </c>
      <c r="F189" s="149">
        <f t="shared" si="19"/>
        <v>982855</v>
      </c>
      <c r="G189" s="360">
        <f t="shared" si="19"/>
        <v>1218137</v>
      </c>
      <c r="H189" s="360">
        <f t="shared" si="19"/>
        <v>436776</v>
      </c>
      <c r="I189" s="360">
        <f t="shared" si="19"/>
        <v>513037</v>
      </c>
      <c r="J189" s="774">
        <f t="shared" si="19"/>
        <v>1448312</v>
      </c>
      <c r="K189" s="774">
        <f>SUM(K181:K188)</f>
        <v>1448312</v>
      </c>
      <c r="L189" s="774">
        <f>SUM(L181:L188)</f>
        <v>376306</v>
      </c>
      <c r="M189" s="774" t="s">
        <v>173</v>
      </c>
      <c r="N189" s="51"/>
      <c r="O189" s="83"/>
      <c r="P189" s="68"/>
      <c r="Q189" s="509">
        <f>SUM(Q186:Q188)</f>
        <v>290000</v>
      </c>
      <c r="S189" s="57"/>
    </row>
    <row r="190" spans="1:19" s="29" customFormat="1" ht="15.75" thickBot="1">
      <c r="A190" s="278"/>
      <c r="B190" s="21"/>
      <c r="C190" s="23"/>
      <c r="D190" s="362"/>
      <c r="E190" s="22"/>
      <c r="F190" s="22"/>
      <c r="G190" s="362"/>
      <c r="H190" s="362"/>
      <c r="I190" s="362"/>
      <c r="J190" s="777"/>
      <c r="K190" s="777"/>
      <c r="L190" s="777"/>
      <c r="M190" s="777"/>
      <c r="N190" s="31"/>
      <c r="O190" s="10"/>
      <c r="P190" s="278"/>
      <c r="S190" s="134"/>
    </row>
    <row r="191" spans="1:19" s="29" customFormat="1" ht="15.75" thickBot="1">
      <c r="A191" s="278"/>
      <c r="B191" s="24" t="s">
        <v>3</v>
      </c>
      <c r="C191" s="23"/>
      <c r="D191" s="362"/>
      <c r="E191" s="22"/>
      <c r="F191" s="22"/>
      <c r="G191" s="362"/>
      <c r="H191" s="362"/>
      <c r="I191" s="362"/>
      <c r="J191" s="777"/>
      <c r="K191" s="777"/>
      <c r="L191" s="777"/>
      <c r="M191" s="777"/>
      <c r="N191" s="31"/>
      <c r="O191" s="10"/>
      <c r="P191" s="278"/>
      <c r="R191" s="16" t="s">
        <v>263</v>
      </c>
      <c r="S191" s="134"/>
    </row>
    <row r="192" spans="1:19" s="29" customFormat="1" ht="13.5">
      <c r="A192" s="278"/>
      <c r="B192" s="568" t="s">
        <v>333</v>
      </c>
      <c r="C192" s="569">
        <v>30000</v>
      </c>
      <c r="D192" s="570">
        <v>16000</v>
      </c>
      <c r="E192" s="571">
        <f>C192</f>
        <v>30000</v>
      </c>
      <c r="F192" s="571">
        <v>30000</v>
      </c>
      <c r="G192" s="570">
        <v>30000</v>
      </c>
      <c r="H192" s="570">
        <v>10000</v>
      </c>
      <c r="I192" s="570">
        <v>20000</v>
      </c>
      <c r="J192" s="785">
        <v>30000</v>
      </c>
      <c r="K192" s="785">
        <v>30000</v>
      </c>
      <c r="L192" s="785">
        <v>30000</v>
      </c>
      <c r="M192" s="809">
        <f>L192/K192</f>
        <v>1</v>
      </c>
      <c r="N192" s="31"/>
      <c r="O192" s="10"/>
      <c r="P192" s="376"/>
      <c r="R192" s="16">
        <f>J192</f>
        <v>30000</v>
      </c>
      <c r="S192" s="134"/>
    </row>
    <row r="193" spans="1:19" s="29" customFormat="1" ht="13.5">
      <c r="A193" s="278"/>
      <c r="B193" s="572" t="s">
        <v>334</v>
      </c>
      <c r="C193" s="573">
        <v>90000</v>
      </c>
      <c r="D193" s="565">
        <v>70399</v>
      </c>
      <c r="E193" s="566">
        <f>C193</f>
        <v>90000</v>
      </c>
      <c r="F193" s="566">
        <v>90000</v>
      </c>
      <c r="G193" s="565">
        <v>90000</v>
      </c>
      <c r="H193" s="565">
        <v>0</v>
      </c>
      <c r="I193" s="565">
        <v>10000</v>
      </c>
      <c r="J193" s="771">
        <v>80000</v>
      </c>
      <c r="K193" s="771">
        <v>80000</v>
      </c>
      <c r="L193" s="771">
        <v>0</v>
      </c>
      <c r="M193" s="810">
        <f>L193/K193</f>
        <v>0</v>
      </c>
      <c r="N193" s="31"/>
      <c r="O193" s="10"/>
      <c r="P193" s="364"/>
      <c r="R193" s="16">
        <f>J193</f>
        <v>80000</v>
      </c>
      <c r="S193" s="134"/>
    </row>
    <row r="194" spans="1:19" s="29" customFormat="1" ht="13.5">
      <c r="A194" s="278"/>
      <c r="B194" s="572" t="s">
        <v>335</v>
      </c>
      <c r="C194" s="573">
        <v>260000</v>
      </c>
      <c r="D194" s="565">
        <v>110000</v>
      </c>
      <c r="E194" s="566">
        <f>C194</f>
        <v>260000</v>
      </c>
      <c r="F194" s="566">
        <v>260000</v>
      </c>
      <c r="G194" s="565">
        <v>200000</v>
      </c>
      <c r="H194" s="565">
        <v>20000</v>
      </c>
      <c r="I194" s="565">
        <v>20000</v>
      </c>
      <c r="J194" s="771">
        <v>180000</v>
      </c>
      <c r="K194" s="771">
        <v>180000</v>
      </c>
      <c r="L194" s="771">
        <v>40000</v>
      </c>
      <c r="M194" s="810">
        <f>L194/K194</f>
        <v>0.2222222222222222</v>
      </c>
      <c r="N194" s="31"/>
      <c r="O194" s="10"/>
      <c r="P194" s="364"/>
      <c r="R194" s="16">
        <f>J194</f>
        <v>180000</v>
      </c>
      <c r="S194" s="134"/>
    </row>
    <row r="195" spans="1:19" s="29" customFormat="1" ht="14.25" thickBot="1">
      <c r="A195" s="278"/>
      <c r="B195" s="495" t="s">
        <v>4</v>
      </c>
      <c r="C195" s="563">
        <v>758871</v>
      </c>
      <c r="D195" s="555">
        <v>735000</v>
      </c>
      <c r="E195" s="556">
        <v>761136</v>
      </c>
      <c r="F195" s="556">
        <v>761136</v>
      </c>
      <c r="G195" s="555">
        <v>898137</v>
      </c>
      <c r="H195" s="564">
        <v>370607</v>
      </c>
      <c r="I195" s="556">
        <v>444730</v>
      </c>
      <c r="J195" s="781">
        <v>1158312</v>
      </c>
      <c r="K195" s="781">
        <v>1158312</v>
      </c>
      <c r="L195" s="781">
        <v>412772</v>
      </c>
      <c r="M195" s="811">
        <f>L195/K195</f>
        <v>0.3563564911699093</v>
      </c>
      <c r="N195" s="31"/>
      <c r="O195" s="10"/>
      <c r="P195" s="646"/>
      <c r="R195" s="16"/>
      <c r="S195" s="134"/>
    </row>
    <row r="196" spans="1:19" s="29" customFormat="1" ht="14.25" thickBot="1">
      <c r="A196" s="278"/>
      <c r="B196" s="490" t="s">
        <v>5</v>
      </c>
      <c r="C196" s="173">
        <f aca="true" t="shared" si="20" ref="C196:J196">SUM(C192:C195)</f>
        <v>1138871</v>
      </c>
      <c r="D196" s="360">
        <f t="shared" si="20"/>
        <v>931399</v>
      </c>
      <c r="E196" s="149">
        <f t="shared" si="20"/>
        <v>1141136</v>
      </c>
      <c r="F196" s="149">
        <f t="shared" si="20"/>
        <v>1141136</v>
      </c>
      <c r="G196" s="360">
        <f t="shared" si="20"/>
        <v>1218137</v>
      </c>
      <c r="H196" s="360">
        <f t="shared" si="20"/>
        <v>400607</v>
      </c>
      <c r="I196" s="360">
        <f t="shared" si="20"/>
        <v>494730</v>
      </c>
      <c r="J196" s="774">
        <f t="shared" si="20"/>
        <v>1448312</v>
      </c>
      <c r="K196" s="774">
        <f>SUM(K192:K195)</f>
        <v>1448312</v>
      </c>
      <c r="L196" s="774">
        <f>SUM(L192:L195)</f>
        <v>482772</v>
      </c>
      <c r="M196" s="774"/>
      <c r="N196" s="51"/>
      <c r="O196" s="83"/>
      <c r="P196" s="278"/>
      <c r="R196" s="510">
        <f>SUM(R192:R195)</f>
        <v>290000</v>
      </c>
      <c r="S196" s="134"/>
    </row>
    <row r="197" spans="1:19" s="29" customFormat="1" ht="7.5" customHeight="1" thickBot="1">
      <c r="A197" s="278"/>
      <c r="B197" s="68"/>
      <c r="C197" s="68"/>
      <c r="D197" s="344"/>
      <c r="E197" s="68"/>
      <c r="F197" s="68"/>
      <c r="G197" s="344"/>
      <c r="H197" s="344"/>
      <c r="I197" s="344"/>
      <c r="J197" s="619"/>
      <c r="K197" s="619"/>
      <c r="L197" s="619"/>
      <c r="M197" s="619"/>
      <c r="P197" s="278"/>
      <c r="S197" s="134"/>
    </row>
    <row r="198" spans="1:19" s="29" customFormat="1" ht="15" thickBot="1" thickTop="1">
      <c r="A198" s="278"/>
      <c r="B198" s="340" t="s">
        <v>224</v>
      </c>
      <c r="C198" s="341"/>
      <c r="D198" s="343">
        <f aca="true" t="shared" si="21" ref="D198:J198">D196-D189</f>
        <v>103605</v>
      </c>
      <c r="E198" s="343">
        <f t="shared" si="21"/>
        <v>0</v>
      </c>
      <c r="F198" s="343">
        <f t="shared" si="21"/>
        <v>158281</v>
      </c>
      <c r="G198" s="343">
        <f t="shared" si="21"/>
        <v>0</v>
      </c>
      <c r="H198" s="343">
        <f t="shared" si="21"/>
        <v>-36169</v>
      </c>
      <c r="I198" s="343">
        <f t="shared" si="21"/>
        <v>-18307</v>
      </c>
      <c r="J198" s="776">
        <f t="shared" si="21"/>
        <v>0</v>
      </c>
      <c r="K198" s="776">
        <f>K196-K189</f>
        <v>0</v>
      </c>
      <c r="L198" s="776">
        <f>L196-L189</f>
        <v>106466</v>
      </c>
      <c r="M198" s="776"/>
      <c r="P198" s="278"/>
      <c r="S198" s="134"/>
    </row>
    <row r="199" spans="1:19" s="29" customFormat="1" ht="10.5" customHeight="1" thickBot="1" thickTop="1">
      <c r="A199" s="278"/>
      <c r="B199" s="68"/>
      <c r="C199" s="68"/>
      <c r="D199" s="68"/>
      <c r="E199" s="68"/>
      <c r="F199" s="68"/>
      <c r="G199" s="344"/>
      <c r="H199" s="344"/>
      <c r="I199" s="344"/>
      <c r="J199" s="619"/>
      <c r="K199" s="619"/>
      <c r="L199" s="619"/>
      <c r="M199" s="619"/>
      <c r="P199" s="278"/>
      <c r="S199" s="134"/>
    </row>
    <row r="200" spans="1:19" s="29" customFormat="1" ht="15" thickBot="1" thickTop="1">
      <c r="A200" s="278"/>
      <c r="B200" s="340" t="s">
        <v>361</v>
      </c>
      <c r="C200" s="341"/>
      <c r="D200" s="343">
        <f aca="true" t="shared" si="22" ref="D200:J200">D198+D176+D142+D119</f>
        <v>233544</v>
      </c>
      <c r="E200" s="343">
        <f t="shared" si="22"/>
        <v>0</v>
      </c>
      <c r="F200" s="343">
        <f t="shared" si="22"/>
        <v>472042</v>
      </c>
      <c r="G200" s="343">
        <f t="shared" si="22"/>
        <v>0</v>
      </c>
      <c r="H200" s="343">
        <f t="shared" si="22"/>
        <v>-208</v>
      </c>
      <c r="I200" s="343">
        <f t="shared" si="22"/>
        <v>339693</v>
      </c>
      <c r="J200" s="787">
        <f t="shared" si="22"/>
        <v>0</v>
      </c>
      <c r="K200" s="787">
        <f>K198+K176+K142+K119</f>
        <v>0</v>
      </c>
      <c r="L200" s="787">
        <f>L198+L176+L142+L119</f>
        <v>613850</v>
      </c>
      <c r="M200" s="787"/>
      <c r="P200" s="278"/>
      <c r="Q200" s="366" t="s">
        <v>264</v>
      </c>
      <c r="R200" s="503">
        <f>R196+R174+R117</f>
        <v>2765000</v>
      </c>
      <c r="S200" s="134"/>
    </row>
    <row r="201" spans="1:19" s="29" customFormat="1" ht="14.25" thickBot="1" thickTop="1">
      <c r="A201" s="278"/>
      <c r="B201" s="68"/>
      <c r="C201" s="68"/>
      <c r="D201" s="68"/>
      <c r="E201" s="68"/>
      <c r="F201" s="68"/>
      <c r="G201" s="344"/>
      <c r="H201" s="344"/>
      <c r="I201" s="344"/>
      <c r="J201" s="619"/>
      <c r="K201" s="786"/>
      <c r="L201" s="786"/>
      <c r="M201" s="786"/>
      <c r="P201" s="278"/>
      <c r="S201" s="134"/>
    </row>
    <row r="202" spans="1:19" s="29" customFormat="1" ht="12.75">
      <c r="A202" s="278"/>
      <c r="B202" s="650"/>
      <c r="C202" s="651"/>
      <c r="D202" s="651"/>
      <c r="E202" s="652" t="s">
        <v>354</v>
      </c>
      <c r="F202" s="653" t="s">
        <v>355</v>
      </c>
      <c r="G202" s="652" t="s">
        <v>353</v>
      </c>
      <c r="H202" s="652"/>
      <c r="I202" s="654" t="s">
        <v>213</v>
      </c>
      <c r="J202" s="655" t="s">
        <v>316</v>
      </c>
      <c r="K202" s="655" t="s">
        <v>416</v>
      </c>
      <c r="L202" s="655" t="s">
        <v>417</v>
      </c>
      <c r="M202" s="655"/>
      <c r="N202" s="656"/>
      <c r="O202" s="656"/>
      <c r="P202" s="657" t="s">
        <v>289</v>
      </c>
      <c r="S202" s="134"/>
    </row>
    <row r="203" spans="1:19" s="29" customFormat="1" ht="12.75">
      <c r="A203" s="278"/>
      <c r="B203" s="658" t="s">
        <v>214</v>
      </c>
      <c r="C203" s="659"/>
      <c r="D203" s="659"/>
      <c r="E203" s="660">
        <f>E195+E166+E139+E69+E67</f>
        <v>9907866</v>
      </c>
      <c r="F203" s="660">
        <f>F195+F166+F139+F69+F67</f>
        <v>9877604</v>
      </c>
      <c r="G203" s="660">
        <f>G195+G166+G139+G69+G67</f>
        <v>10779137</v>
      </c>
      <c r="H203" s="661"/>
      <c r="I203" s="660">
        <f>I195+I166+I139+I69</f>
        <v>5289060</v>
      </c>
      <c r="J203" s="788">
        <f>J195+J166+J139+J69</f>
        <v>12033774</v>
      </c>
      <c r="K203" s="788">
        <f>K195+K166+K139+K69</f>
        <v>12033774</v>
      </c>
      <c r="L203" s="788">
        <f>L195+L166+L139+L69</f>
        <v>4409724</v>
      </c>
      <c r="M203" s="788"/>
      <c r="N203" s="662"/>
      <c r="O203" s="662"/>
      <c r="P203" s="663">
        <f>J203/G203</f>
        <v>1.116394939594886</v>
      </c>
      <c r="S203" s="134"/>
    </row>
    <row r="204" spans="1:19" s="29" customFormat="1" ht="12.75">
      <c r="A204" s="278"/>
      <c r="B204" s="658" t="s">
        <v>336</v>
      </c>
      <c r="C204" s="659"/>
      <c r="D204" s="659"/>
      <c r="E204" s="660"/>
      <c r="F204" s="660">
        <f>F194+F193+F192+F172+F171+F169+F168+F167+F101+F99+F97+F95+F94+F92+F89+F88+F90+F86+F84+F83+F82+F81+F79+F77+F70</f>
        <v>2920045</v>
      </c>
      <c r="G204" s="660">
        <f>G194+G193+G192+G172+G171+G169+G168+G106+G105+G101+G100+G99+G97+G96+G95+G93+G90+G89+G88+G86+G84+G83+G82+G81+G79+G76+G70+G92</f>
        <v>2935500</v>
      </c>
      <c r="H204" s="661"/>
      <c r="I204" s="660">
        <f>I194+I193+I192+I172+I171+I169+I168+I106+I105+I101+I100+I99+I97+I96+I95+I93+I90+I89+I88+I86+I84+I83+I82+I81+I79+I76+I70+I92</f>
        <v>766000</v>
      </c>
      <c r="J204" s="789">
        <f>R200</f>
        <v>2765000</v>
      </c>
      <c r="K204" s="789">
        <f>K194+K193+K192+K172+K171+K169+K168+K110+K109+K108+K107+K106+K101+K100+K99+K97+K96+K95+K93+K92+K90+K89+K88+K86+K84+K83+K82+K81+K79+K76+K70</f>
        <v>2765000</v>
      </c>
      <c r="L204" s="789">
        <f>L194+L193+L192+L172+L171+L169+L168+L110+L109+L108+L107+L106+L101+L100+L99+L97+L96+L95+L93+L92+L90+L89+L88+L86+L84+L83+L82+L81+L79+L76+L70</f>
        <v>330000</v>
      </c>
      <c r="M204" s="789"/>
      <c r="N204" s="662"/>
      <c r="O204" s="662"/>
      <c r="P204" s="663">
        <f>J204/G204</f>
        <v>0.9419179015499914</v>
      </c>
      <c r="S204" s="134"/>
    </row>
    <row r="205" spans="1:19" s="29" customFormat="1" ht="12.75">
      <c r="A205" s="278"/>
      <c r="B205" s="696" t="s">
        <v>368</v>
      </c>
      <c r="C205" s="697"/>
      <c r="D205" s="697"/>
      <c r="E205" s="698">
        <f>SUM(E203:E204)</f>
        <v>9907866</v>
      </c>
      <c r="F205" s="698">
        <f>SUM(F203:F204)</f>
        <v>12797649</v>
      </c>
      <c r="G205" s="698">
        <f>SUM(G203:G204)</f>
        <v>13714637</v>
      </c>
      <c r="H205" s="699"/>
      <c r="I205" s="698">
        <f>SUM(I203:I204)</f>
        <v>6055060</v>
      </c>
      <c r="J205" s="790">
        <f>SUM(J203:J204)</f>
        <v>14798774</v>
      </c>
      <c r="K205" s="790">
        <f>SUM(K203:K204)</f>
        <v>14798774</v>
      </c>
      <c r="L205" s="790">
        <f>SUM(L203:L204)</f>
        <v>4739724</v>
      </c>
      <c r="M205" s="790"/>
      <c r="N205" s="700"/>
      <c r="O205" s="700"/>
      <c r="P205" s="701">
        <f>J205/G205</f>
        <v>1.0790496314266285</v>
      </c>
      <c r="S205" s="134"/>
    </row>
    <row r="206" spans="2:21" ht="12.75">
      <c r="B206" s="664" t="s">
        <v>215</v>
      </c>
      <c r="C206" s="665"/>
      <c r="D206" s="665"/>
      <c r="E206" s="666">
        <f>E185+E159+E132+E15</f>
        <v>5698869</v>
      </c>
      <c r="F206" s="666">
        <f>F185+F159+F132+F15</f>
        <v>5516606</v>
      </c>
      <c r="G206" s="666">
        <f>G185+G159+G132+G15</f>
        <v>6865165</v>
      </c>
      <c r="H206" s="667"/>
      <c r="I206" s="666">
        <f>I185+I159+I132+I15</f>
        <v>3077368</v>
      </c>
      <c r="J206" s="791">
        <f>J185+J159+J132+J15</f>
        <v>8300923</v>
      </c>
      <c r="K206" s="791">
        <f>K185+K159+K132+K15</f>
        <v>8300923</v>
      </c>
      <c r="L206" s="791">
        <f>L185+L159+L132+L15</f>
        <v>2313447</v>
      </c>
      <c r="M206" s="791"/>
      <c r="N206" s="668"/>
      <c r="O206" s="668"/>
      <c r="P206" s="663">
        <f>J206/G206</f>
        <v>1.2091367068380732</v>
      </c>
      <c r="T206" s="29"/>
      <c r="U206" s="29"/>
    </row>
    <row r="207" spans="2:21" ht="12.75">
      <c r="B207" s="669"/>
      <c r="C207" s="670"/>
      <c r="D207" s="670"/>
      <c r="E207" s="670"/>
      <c r="F207" s="670" t="s">
        <v>173</v>
      </c>
      <c r="G207" s="671"/>
      <c r="H207" s="671"/>
      <c r="I207" s="671"/>
      <c r="J207" s="792"/>
      <c r="K207" s="792"/>
      <c r="L207" s="792"/>
      <c r="M207" s="792"/>
      <c r="N207" s="670"/>
      <c r="O207" s="670"/>
      <c r="P207" s="672"/>
      <c r="T207" s="29"/>
      <c r="U207" s="29"/>
    </row>
    <row r="208" spans="2:21" ht="12.75">
      <c r="B208" s="658" t="s">
        <v>357</v>
      </c>
      <c r="C208" s="670"/>
      <c r="D208" s="670"/>
      <c r="E208" s="667">
        <f>E189+E160+E133+E61</f>
        <v>16297462</v>
      </c>
      <c r="F208" s="667">
        <f>F189+F160+F133+F61</f>
        <v>16002427</v>
      </c>
      <c r="G208" s="667">
        <f>G189+G160+G133+G61</f>
        <v>17513237</v>
      </c>
      <c r="H208" s="671"/>
      <c r="I208" s="667">
        <f>I189+I160+I133+I61</f>
        <v>7644189</v>
      </c>
      <c r="J208" s="792">
        <f>J189+J160+J133+J61</f>
        <v>18189874</v>
      </c>
      <c r="K208" s="792">
        <f>K189+K160+K133+K61</f>
        <v>18699874</v>
      </c>
      <c r="L208" s="792">
        <f>L189+L160+L133+L61</f>
        <v>5461313</v>
      </c>
      <c r="M208" s="792"/>
      <c r="N208" s="670"/>
      <c r="O208" s="670"/>
      <c r="P208" s="672"/>
      <c r="T208" s="29"/>
      <c r="U208" s="29"/>
    </row>
    <row r="209" spans="2:16" ht="13.5" thickBot="1">
      <c r="B209" s="673" t="s">
        <v>358</v>
      </c>
      <c r="C209" s="674"/>
      <c r="D209" s="674"/>
      <c r="E209" s="675">
        <f>E196+E174+E140+E117</f>
        <v>16297462</v>
      </c>
      <c r="F209" s="675">
        <f>F196+F174+F140+F117</f>
        <v>16474469</v>
      </c>
      <c r="G209" s="675">
        <f>G196+G174+G140+G117</f>
        <v>17513237</v>
      </c>
      <c r="H209" s="676"/>
      <c r="I209" s="675">
        <f>I196+I174+I140+I117</f>
        <v>7983882</v>
      </c>
      <c r="J209" s="793">
        <f>J196+J174+J140+J117</f>
        <v>18189874</v>
      </c>
      <c r="K209" s="793">
        <f>K196+K174+K140+K117</f>
        <v>18699874</v>
      </c>
      <c r="L209" s="793">
        <f>L196+L174+L140+L117</f>
        <v>6075163</v>
      </c>
      <c r="M209" s="793"/>
      <c r="N209" s="674"/>
      <c r="O209" s="674"/>
      <c r="P209" s="677"/>
    </row>
    <row r="210" spans="2:5" ht="12.75">
      <c r="B210" s="63"/>
      <c r="E210" t="s">
        <v>173</v>
      </c>
    </row>
    <row r="212" ht="12.75">
      <c r="P212" s="649">
        <f>J205-14798776</f>
        <v>-2</v>
      </c>
    </row>
  </sheetData>
  <sheetProtection/>
  <mergeCells count="4">
    <mergeCell ref="B2:O2"/>
    <mergeCell ref="B121:L121"/>
    <mergeCell ref="B144:O144"/>
    <mergeCell ref="B178:O178"/>
  </mergeCells>
  <printOptions/>
  <pageMargins left="0.7" right="0.7" top="0.787401575" bottom="0.787401575" header="0.3" footer="0.3"/>
  <pageSetup horizontalDpi="600" verticalDpi="600" orientation="portrait" paperSize="9" scale="70" r:id="rId1"/>
  <rowBreaks count="2" manualBreakCount="2">
    <brk id="119" max="255" man="1"/>
    <brk id="200" max="255" man="1"/>
  </rowBreaks>
  <colBreaks count="1" manualBreakCount="1">
    <brk id="1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W217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375" style="124" customWidth="1"/>
    <col min="2" max="2" width="44.00390625" style="0" customWidth="1"/>
    <col min="3" max="4" width="12.875" style="0" hidden="1" customWidth="1"/>
    <col min="5" max="6" width="12.125" style="0" hidden="1" customWidth="1"/>
    <col min="7" max="8" width="12.00390625" style="382" hidden="1" customWidth="1"/>
    <col min="9" max="9" width="13.00390625" style="382" hidden="1" customWidth="1"/>
    <col min="10" max="10" width="12.875" style="777" customWidth="1"/>
    <col min="11" max="13" width="12.875" style="778" customWidth="1"/>
    <col min="14" max="15" width="9.125" style="0" hidden="1" customWidth="1"/>
    <col min="16" max="16" width="16.625" style="124" customWidth="1"/>
    <col min="17" max="17" width="9.50390625" style="0" customWidth="1"/>
    <col min="18" max="18" width="10.625" style="0" customWidth="1"/>
    <col min="19" max="19" width="9.125" style="500" customWidth="1"/>
  </cols>
  <sheetData>
    <row r="1" spans="2:16" ht="20.25">
      <c r="B1" s="647" t="s">
        <v>433</v>
      </c>
      <c r="C1" s="647"/>
      <c r="D1" s="647"/>
      <c r="E1" s="647"/>
      <c r="F1" s="647"/>
      <c r="G1" s="647"/>
      <c r="H1" s="647"/>
      <c r="I1" s="647"/>
      <c r="J1" s="750"/>
      <c r="K1" s="750"/>
      <c r="L1" s="750"/>
      <c r="M1" s="750"/>
      <c r="N1" s="647"/>
      <c r="O1" s="647"/>
      <c r="P1" s="648"/>
    </row>
    <row r="2" spans="2:18" ht="20.25">
      <c r="B2" s="873" t="s">
        <v>6</v>
      </c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R2" t="s">
        <v>173</v>
      </c>
    </row>
    <row r="3" spans="1:19" s="10" customFormat="1" ht="5.25" customHeight="1">
      <c r="A3" s="347"/>
      <c r="B3" s="8"/>
      <c r="C3" s="9"/>
      <c r="D3" s="9"/>
      <c r="E3" s="9"/>
      <c r="F3" s="9"/>
      <c r="G3" s="348"/>
      <c r="H3" s="348"/>
      <c r="I3" s="348"/>
      <c r="J3" s="751"/>
      <c r="K3" s="752"/>
      <c r="L3" s="753"/>
      <c r="M3" s="752"/>
      <c r="N3" s="1"/>
      <c r="O3" s="41"/>
      <c r="P3" s="347"/>
      <c r="S3" s="513"/>
    </row>
    <row r="4" spans="1:23" s="10" customFormat="1" ht="11.25" customHeight="1" thickBot="1">
      <c r="A4" s="347"/>
      <c r="B4" s="8"/>
      <c r="C4" s="9"/>
      <c r="D4" s="9"/>
      <c r="E4" s="9"/>
      <c r="F4" s="9"/>
      <c r="G4" s="348"/>
      <c r="H4" s="348"/>
      <c r="I4" s="348"/>
      <c r="J4" s="751"/>
      <c r="K4" s="752"/>
      <c r="L4" s="753"/>
      <c r="M4" s="752"/>
      <c r="N4" s="1"/>
      <c r="O4" s="41"/>
      <c r="P4" s="347"/>
      <c r="Q4" s="131"/>
      <c r="R4" s="131"/>
      <c r="S4" s="502"/>
      <c r="T4" s="29"/>
      <c r="U4" s="29"/>
      <c r="V4" s="29"/>
      <c r="W4" s="29"/>
    </row>
    <row r="5" spans="2:23" ht="27.75">
      <c r="B5" s="89" t="s">
        <v>7</v>
      </c>
      <c r="C5" s="93" t="s">
        <v>299</v>
      </c>
      <c r="D5" s="350" t="s">
        <v>137</v>
      </c>
      <c r="E5" s="93" t="s">
        <v>299</v>
      </c>
      <c r="F5" s="350" t="s">
        <v>137</v>
      </c>
      <c r="G5" s="93" t="s">
        <v>299</v>
      </c>
      <c r="H5" s="350" t="s">
        <v>338</v>
      </c>
      <c r="I5" s="350" t="s">
        <v>338</v>
      </c>
      <c r="J5" s="749" t="s">
        <v>411</v>
      </c>
      <c r="K5" s="749" t="s">
        <v>412</v>
      </c>
      <c r="L5" s="794" t="s">
        <v>414</v>
      </c>
      <c r="M5" s="181" t="s">
        <v>415</v>
      </c>
      <c r="N5" s="416"/>
      <c r="O5" s="417"/>
      <c r="P5" s="351" t="s">
        <v>136</v>
      </c>
      <c r="Q5" s="131"/>
      <c r="R5" s="25"/>
      <c r="S5" s="57"/>
      <c r="T5" s="29"/>
      <c r="U5" s="29"/>
      <c r="V5" s="29"/>
      <c r="W5" s="29"/>
    </row>
    <row r="6" spans="2:23" ht="15.75" thickBot="1">
      <c r="B6" s="369"/>
      <c r="C6" s="539">
        <v>2015</v>
      </c>
      <c r="D6" s="353">
        <v>2015</v>
      </c>
      <c r="E6" s="540">
        <v>2016</v>
      </c>
      <c r="F6" s="540">
        <v>2016</v>
      </c>
      <c r="G6" s="353">
        <v>2017</v>
      </c>
      <c r="H6" s="418" t="s">
        <v>339</v>
      </c>
      <c r="I6" s="418" t="s">
        <v>359</v>
      </c>
      <c r="J6" s="395" t="s">
        <v>300</v>
      </c>
      <c r="K6" s="395" t="s">
        <v>300</v>
      </c>
      <c r="L6" s="866" t="s">
        <v>436</v>
      </c>
      <c r="M6" s="182"/>
      <c r="N6" s="420"/>
      <c r="O6" s="421"/>
      <c r="P6" s="355"/>
      <c r="Q6" s="29"/>
      <c r="R6" s="29"/>
      <c r="S6" s="134"/>
      <c r="T6" s="29"/>
      <c r="U6" s="29"/>
      <c r="V6" s="29"/>
      <c r="W6" s="29"/>
    </row>
    <row r="7" spans="1:23" s="2" customFormat="1" ht="12.75" customHeight="1">
      <c r="A7" s="124"/>
      <c r="B7" s="532" t="s">
        <v>307</v>
      </c>
      <c r="C7" s="426">
        <v>1200000</v>
      </c>
      <c r="D7" s="411">
        <v>180273</v>
      </c>
      <c r="E7" s="410">
        <v>203000</v>
      </c>
      <c r="F7" s="410">
        <v>182957</v>
      </c>
      <c r="G7" s="411">
        <v>200000</v>
      </c>
      <c r="H7" s="411">
        <v>79385</v>
      </c>
      <c r="I7" s="411">
        <v>94379</v>
      </c>
      <c r="J7" s="754">
        <v>204000</v>
      </c>
      <c r="K7" s="754">
        <v>204000</v>
      </c>
      <c r="L7" s="754">
        <v>81992</v>
      </c>
      <c r="M7" s="800">
        <f>L7/K7</f>
        <v>0.401921568627451</v>
      </c>
      <c r="N7" s="65"/>
      <c r="O7" s="69"/>
      <c r="P7" s="633"/>
      <c r="Q7" s="57"/>
      <c r="R7" s="57"/>
      <c r="S7" s="57"/>
      <c r="T7" s="70"/>
      <c r="U7" s="70"/>
      <c r="V7" s="70"/>
      <c r="W7" s="70"/>
    </row>
    <row r="8" spans="1:23" s="2" customFormat="1" ht="12.75" customHeight="1">
      <c r="A8" s="124"/>
      <c r="B8" s="533" t="s">
        <v>305</v>
      </c>
      <c r="C8" s="427"/>
      <c r="D8" s="398">
        <v>108606</v>
      </c>
      <c r="E8" s="397">
        <v>77000</v>
      </c>
      <c r="F8" s="397">
        <v>70712</v>
      </c>
      <c r="G8" s="398">
        <v>90000</v>
      </c>
      <c r="H8" s="398">
        <v>34564</v>
      </c>
      <c r="I8" s="398">
        <v>45710</v>
      </c>
      <c r="J8" s="755">
        <v>91800</v>
      </c>
      <c r="K8" s="755">
        <v>91800</v>
      </c>
      <c r="L8" s="755">
        <v>33520</v>
      </c>
      <c r="M8" s="801">
        <f>L8/K8</f>
        <v>0.36514161220043573</v>
      </c>
      <c r="N8" s="65"/>
      <c r="O8" s="69"/>
      <c r="P8" s="634"/>
      <c r="Q8" s="57"/>
      <c r="R8" s="57"/>
      <c r="S8" s="57"/>
      <c r="T8" s="70"/>
      <c r="U8" s="70"/>
      <c r="V8" s="70"/>
      <c r="W8" s="70"/>
    </row>
    <row r="9" spans="1:23" s="2" customFormat="1" ht="12.75" customHeight="1">
      <c r="A9" s="124"/>
      <c r="B9" s="533" t="s">
        <v>306</v>
      </c>
      <c r="C9" s="428"/>
      <c r="D9" s="423">
        <v>850526</v>
      </c>
      <c r="E9" s="422">
        <v>920000</v>
      </c>
      <c r="F9" s="422">
        <v>958122</v>
      </c>
      <c r="G9" s="423">
        <v>1000000</v>
      </c>
      <c r="H9" s="423">
        <v>631118</v>
      </c>
      <c r="I9" s="423">
        <v>638962</v>
      </c>
      <c r="J9" s="756">
        <v>1020000</v>
      </c>
      <c r="K9" s="756">
        <v>1020000</v>
      </c>
      <c r="L9" s="756">
        <v>609765</v>
      </c>
      <c r="M9" s="802">
        <f aca="true" t="shared" si="0" ref="M9:M62">L9/K9</f>
        <v>0.5978088235294118</v>
      </c>
      <c r="N9" s="803"/>
      <c r="O9" s="804"/>
      <c r="P9" s="805"/>
      <c r="Q9" s="57"/>
      <c r="R9" s="57"/>
      <c r="S9" s="57"/>
      <c r="T9" s="70"/>
      <c r="U9" s="70"/>
      <c r="V9" s="70"/>
      <c r="W9" s="70"/>
    </row>
    <row r="10" spans="1:23" s="2" customFormat="1" ht="12.75" customHeight="1">
      <c r="A10" s="124"/>
      <c r="B10" s="534" t="s">
        <v>1</v>
      </c>
      <c r="C10" s="426">
        <v>50000</v>
      </c>
      <c r="D10" s="411">
        <v>7811</v>
      </c>
      <c r="E10" s="410">
        <f>C10</f>
        <v>50000</v>
      </c>
      <c r="F10" s="410">
        <v>12631</v>
      </c>
      <c r="G10" s="411">
        <v>50000</v>
      </c>
      <c r="H10" s="411">
        <v>25991</v>
      </c>
      <c r="I10" s="412">
        <v>25991</v>
      </c>
      <c r="J10" s="754">
        <v>50000</v>
      </c>
      <c r="K10" s="754">
        <v>50000</v>
      </c>
      <c r="L10" s="754">
        <v>18591</v>
      </c>
      <c r="M10" s="800">
        <f t="shared" si="0"/>
        <v>0.37182</v>
      </c>
      <c r="N10" s="65"/>
      <c r="O10" s="69"/>
      <c r="P10" s="414"/>
      <c r="Q10" s="57"/>
      <c r="R10" s="57"/>
      <c r="S10" s="57"/>
      <c r="T10" s="70"/>
      <c r="U10" s="70"/>
      <c r="V10" s="70"/>
      <c r="W10" s="70"/>
    </row>
    <row r="11" spans="1:23" s="2" customFormat="1" ht="12.75" customHeight="1">
      <c r="A11" s="124"/>
      <c r="B11" s="527" t="s">
        <v>8</v>
      </c>
      <c r="C11" s="427">
        <v>395000</v>
      </c>
      <c r="D11" s="398">
        <v>357616</v>
      </c>
      <c r="E11" s="397">
        <f>C11</f>
        <v>395000</v>
      </c>
      <c r="F11" s="397">
        <v>443970</v>
      </c>
      <c r="G11" s="398">
        <v>403000</v>
      </c>
      <c r="H11" s="398">
        <v>84691</v>
      </c>
      <c r="I11" s="399">
        <v>107724</v>
      </c>
      <c r="J11" s="757">
        <v>410000</v>
      </c>
      <c r="K11" s="757">
        <f>410000+650000</f>
        <v>1060000</v>
      </c>
      <c r="L11" s="757">
        <f>288354-L59</f>
        <v>107816</v>
      </c>
      <c r="M11" s="801">
        <f t="shared" si="0"/>
        <v>0.10171320754716981</v>
      </c>
      <c r="N11" s="65"/>
      <c r="O11" s="69"/>
      <c r="P11" s="357"/>
      <c r="Q11" s="57"/>
      <c r="R11" s="57"/>
      <c r="S11" s="57"/>
      <c r="T11" s="70"/>
      <c r="U11" s="70"/>
      <c r="V11" s="70"/>
      <c r="W11" s="70"/>
    </row>
    <row r="12" spans="1:23" s="2" customFormat="1" ht="12.75" customHeight="1">
      <c r="A12" s="124"/>
      <c r="B12" s="527" t="s">
        <v>18</v>
      </c>
      <c r="C12" s="427">
        <v>3300000</v>
      </c>
      <c r="D12" s="398">
        <f>3456317-D24</f>
        <v>3419317</v>
      </c>
      <c r="E12" s="397">
        <v>3074132</v>
      </c>
      <c r="F12" s="397">
        <v>2755358</v>
      </c>
      <c r="G12" s="398">
        <v>1870000</v>
      </c>
      <c r="H12" s="398">
        <v>1242344</v>
      </c>
      <c r="I12" s="399">
        <v>1381095</v>
      </c>
      <c r="J12" s="757">
        <v>1907000</v>
      </c>
      <c r="K12" s="757">
        <v>1907000</v>
      </c>
      <c r="L12" s="757">
        <f>2155098-L16-L22-L23-L25-L26-L27-L29-L30-L31-L33-L36-L37-L39-L38-L40-L42-L44-L45-L49-L50-L57-L58-L60</f>
        <v>1332648</v>
      </c>
      <c r="M12" s="801">
        <f t="shared" si="0"/>
        <v>0.6988190875721028</v>
      </c>
      <c r="N12" s="65"/>
      <c r="O12" s="69"/>
      <c r="P12" s="357"/>
      <c r="Q12" s="57"/>
      <c r="R12" s="57"/>
      <c r="S12" s="57"/>
      <c r="T12" s="70"/>
      <c r="U12" s="70"/>
      <c r="V12" s="70"/>
      <c r="W12" s="70"/>
    </row>
    <row r="13" spans="1:23" s="2" customFormat="1" ht="12.75" customHeight="1">
      <c r="A13" s="124"/>
      <c r="B13" s="527" t="s">
        <v>9</v>
      </c>
      <c r="C13" s="427">
        <v>230000</v>
      </c>
      <c r="D13" s="398">
        <v>318</v>
      </c>
      <c r="E13" s="397">
        <f>C13</f>
        <v>230000</v>
      </c>
      <c r="F13" s="397">
        <v>383291</v>
      </c>
      <c r="G13" s="398">
        <v>1040000</v>
      </c>
      <c r="H13" s="398">
        <v>433287</v>
      </c>
      <c r="I13" s="399">
        <v>568683</v>
      </c>
      <c r="J13" s="757">
        <v>1190000</v>
      </c>
      <c r="K13" s="757">
        <v>1190000</v>
      </c>
      <c r="L13" s="757">
        <v>354080</v>
      </c>
      <c r="M13" s="801">
        <f t="shared" si="0"/>
        <v>0.29754621848739493</v>
      </c>
      <c r="N13" s="65"/>
      <c r="O13" s="69"/>
      <c r="P13" s="357"/>
      <c r="Q13" s="57"/>
      <c r="R13" s="57"/>
      <c r="S13" s="57"/>
      <c r="T13" s="70"/>
      <c r="U13" s="70"/>
      <c r="V13" s="70"/>
      <c r="W13" s="70"/>
    </row>
    <row r="14" spans="1:23" s="2" customFormat="1" ht="12.75" customHeight="1" hidden="1">
      <c r="A14" s="124"/>
      <c r="B14" s="636" t="s">
        <v>345</v>
      </c>
      <c r="C14" s="635"/>
      <c r="D14" s="403"/>
      <c r="E14" s="402"/>
      <c r="F14" s="402"/>
      <c r="G14" s="403"/>
      <c r="H14" s="403"/>
      <c r="I14" s="637"/>
      <c r="J14" s="758"/>
      <c r="K14" s="758"/>
      <c r="L14" s="758"/>
      <c r="M14" s="801" t="e">
        <f t="shared" si="0"/>
        <v>#DIV/0!</v>
      </c>
      <c r="N14" s="65"/>
      <c r="O14" s="69"/>
      <c r="P14" s="357"/>
      <c r="Q14" s="57"/>
      <c r="R14" s="57"/>
      <c r="S14" s="57"/>
      <c r="T14" s="70"/>
      <c r="U14" s="70"/>
      <c r="V14" s="70"/>
      <c r="W14" s="70"/>
    </row>
    <row r="15" spans="1:23" s="2" customFormat="1" ht="12.75" customHeight="1">
      <c r="A15" s="124"/>
      <c r="B15" s="545" t="s">
        <v>10</v>
      </c>
      <c r="C15" s="546">
        <v>3950254</v>
      </c>
      <c r="D15" s="547">
        <v>3339761</v>
      </c>
      <c r="E15" s="548">
        <v>4010430</v>
      </c>
      <c r="F15" s="548">
        <v>3952290</v>
      </c>
      <c r="G15" s="547">
        <v>4615045</v>
      </c>
      <c r="H15" s="547">
        <v>1683327</v>
      </c>
      <c r="I15" s="547">
        <v>2064587</v>
      </c>
      <c r="J15" s="759">
        <v>5470439</v>
      </c>
      <c r="K15" s="759">
        <v>5470439</v>
      </c>
      <c r="L15" s="759">
        <f>2030343-L61</f>
        <v>1930843</v>
      </c>
      <c r="M15" s="821">
        <f t="shared" si="0"/>
        <v>0.3529594242802086</v>
      </c>
      <c r="N15" s="81"/>
      <c r="O15" s="69"/>
      <c r="P15" s="357"/>
      <c r="Q15" s="124" t="s">
        <v>174</v>
      </c>
      <c r="R15" s="57"/>
      <c r="S15" s="514" t="s">
        <v>291</v>
      </c>
      <c r="T15" s="70"/>
      <c r="U15" s="70"/>
      <c r="V15" s="70"/>
      <c r="W15" s="70"/>
    </row>
    <row r="16" spans="1:23" s="2" customFormat="1" ht="12.75" customHeight="1">
      <c r="A16" s="124">
        <v>1601</v>
      </c>
      <c r="B16" s="518" t="s">
        <v>349</v>
      </c>
      <c r="C16" s="427">
        <v>950000</v>
      </c>
      <c r="D16" s="398">
        <v>1299917</v>
      </c>
      <c r="E16" s="404">
        <f>C16</f>
        <v>950000</v>
      </c>
      <c r="F16" s="404">
        <v>895685</v>
      </c>
      <c r="G16" s="398">
        <v>1004000</v>
      </c>
      <c r="H16" s="398">
        <v>51774</v>
      </c>
      <c r="I16" s="398">
        <v>53951</v>
      </c>
      <c r="J16" s="757">
        <v>1304500</v>
      </c>
      <c r="K16" s="757">
        <v>1304500</v>
      </c>
      <c r="L16" s="757">
        <v>100230</v>
      </c>
      <c r="M16" s="801">
        <f t="shared" si="0"/>
        <v>0.07683403602912993</v>
      </c>
      <c r="N16" s="65"/>
      <c r="O16" s="69"/>
      <c r="P16" s="357"/>
      <c r="Q16" s="57">
        <f>J16</f>
        <v>1304500</v>
      </c>
      <c r="R16" s="348"/>
      <c r="S16" s="57">
        <f>52500+12000</f>
        <v>64500</v>
      </c>
      <c r="T16" s="70"/>
      <c r="U16" s="70"/>
      <c r="V16" s="70"/>
      <c r="W16" s="70"/>
    </row>
    <row r="17" spans="1:23" s="2" customFormat="1" ht="12.75" customHeight="1" hidden="1">
      <c r="A17" s="124"/>
      <c r="B17" s="535" t="s">
        <v>310</v>
      </c>
      <c r="C17" s="429"/>
      <c r="D17" s="406"/>
      <c r="E17" s="405">
        <v>130000</v>
      </c>
      <c r="F17" s="405">
        <v>130000</v>
      </c>
      <c r="G17" s="406"/>
      <c r="H17" s="406"/>
      <c r="I17" s="406"/>
      <c r="J17" s="757"/>
      <c r="K17" s="757"/>
      <c r="L17" s="757"/>
      <c r="M17" s="801" t="e">
        <f t="shared" si="0"/>
        <v>#DIV/0!</v>
      </c>
      <c r="N17" s="65"/>
      <c r="O17" s="69"/>
      <c r="P17" s="357"/>
      <c r="Q17" s="57"/>
      <c r="R17" s="348"/>
      <c r="S17" s="57"/>
      <c r="T17" s="70"/>
      <c r="U17" s="70"/>
      <c r="V17" s="70"/>
      <c r="W17" s="70"/>
    </row>
    <row r="18" spans="1:23" s="2" customFormat="1" ht="12.75" customHeight="1" hidden="1">
      <c r="A18" s="124"/>
      <c r="B18" s="535" t="s">
        <v>309</v>
      </c>
      <c r="C18" s="429"/>
      <c r="D18" s="406"/>
      <c r="E18" s="405">
        <v>30000</v>
      </c>
      <c r="F18" s="405">
        <v>30000</v>
      </c>
      <c r="G18" s="406">
        <v>50000</v>
      </c>
      <c r="H18" s="406"/>
      <c r="I18" s="406"/>
      <c r="J18" s="757"/>
      <c r="K18" s="757"/>
      <c r="L18" s="757"/>
      <c r="M18" s="801" t="e">
        <f t="shared" si="0"/>
        <v>#DIV/0!</v>
      </c>
      <c r="N18" s="65"/>
      <c r="O18" s="69"/>
      <c r="P18" s="357"/>
      <c r="Q18" s="57"/>
      <c r="R18" s="348"/>
      <c r="S18" s="57"/>
      <c r="T18" s="70"/>
      <c r="U18" s="70"/>
      <c r="V18" s="70"/>
      <c r="W18" s="70"/>
    </row>
    <row r="19" spans="1:23" s="2" customFormat="1" ht="12.75" customHeight="1" hidden="1">
      <c r="A19" s="124"/>
      <c r="B19" s="535" t="s">
        <v>337</v>
      </c>
      <c r="C19" s="429"/>
      <c r="D19" s="406"/>
      <c r="E19" s="405"/>
      <c r="F19" s="405"/>
      <c r="G19" s="406">
        <v>50000</v>
      </c>
      <c r="H19" s="406">
        <v>8815</v>
      </c>
      <c r="I19" s="406">
        <v>8815</v>
      </c>
      <c r="J19" s="757"/>
      <c r="K19" s="757"/>
      <c r="L19" s="757"/>
      <c r="M19" s="801" t="e">
        <f t="shared" si="0"/>
        <v>#DIV/0!</v>
      </c>
      <c r="N19" s="65"/>
      <c r="O19" s="69"/>
      <c r="P19" s="357"/>
      <c r="Q19" s="57">
        <f>J19</f>
        <v>0</v>
      </c>
      <c r="R19" s="348"/>
      <c r="S19" s="57"/>
      <c r="T19" s="70"/>
      <c r="U19" s="70"/>
      <c r="V19" s="70"/>
      <c r="W19" s="70"/>
    </row>
    <row r="20" spans="1:23" s="2" customFormat="1" ht="12.75" customHeight="1">
      <c r="A20" s="124"/>
      <c r="B20" s="850" t="s">
        <v>423</v>
      </c>
      <c r="C20" s="429"/>
      <c r="D20" s="851"/>
      <c r="E20" s="852"/>
      <c r="F20" s="852"/>
      <c r="G20" s="851"/>
      <c r="H20" s="851"/>
      <c r="I20" s="851"/>
      <c r="J20" s="853"/>
      <c r="K20" s="853">
        <v>200000</v>
      </c>
      <c r="L20" s="757"/>
      <c r="M20" s="801"/>
      <c r="N20" s="65"/>
      <c r="O20" s="69"/>
      <c r="P20" s="357"/>
      <c r="Q20" s="57"/>
      <c r="R20" s="348"/>
      <c r="S20" s="57"/>
      <c r="T20" s="70"/>
      <c r="U20" s="70"/>
      <c r="V20" s="70"/>
      <c r="W20" s="70"/>
    </row>
    <row r="21" spans="1:23" s="2" customFormat="1" ht="12.75" customHeight="1">
      <c r="A21" s="124"/>
      <c r="B21" s="850" t="s">
        <v>425</v>
      </c>
      <c r="C21" s="429"/>
      <c r="D21" s="851"/>
      <c r="E21" s="852"/>
      <c r="F21" s="852"/>
      <c r="G21" s="851"/>
      <c r="H21" s="851"/>
      <c r="I21" s="851"/>
      <c r="J21" s="853"/>
      <c r="K21" s="853">
        <v>50000</v>
      </c>
      <c r="L21" s="757"/>
      <c r="M21" s="801"/>
      <c r="N21" s="65"/>
      <c r="O21" s="69"/>
      <c r="P21" s="357"/>
      <c r="Q21" s="57"/>
      <c r="R21" s="348"/>
      <c r="S21" s="57"/>
      <c r="T21" s="70"/>
      <c r="U21" s="70"/>
      <c r="V21" s="70"/>
      <c r="W21" s="70"/>
    </row>
    <row r="22" spans="1:23" s="2" customFormat="1" ht="12.75" customHeight="1">
      <c r="A22" s="124">
        <v>1902</v>
      </c>
      <c r="B22" s="518" t="s">
        <v>139</v>
      </c>
      <c r="C22" s="427">
        <v>100000</v>
      </c>
      <c r="D22" s="398">
        <v>2815</v>
      </c>
      <c r="E22" s="404">
        <f>C22</f>
        <v>100000</v>
      </c>
      <c r="F22" s="404">
        <v>36664</v>
      </c>
      <c r="G22" s="398">
        <v>50000</v>
      </c>
      <c r="H22" s="398">
        <v>21502</v>
      </c>
      <c r="I22" s="398">
        <v>23173</v>
      </c>
      <c r="J22" s="757">
        <v>50000</v>
      </c>
      <c r="K22" s="757">
        <v>50000</v>
      </c>
      <c r="L22" s="757">
        <v>1800</v>
      </c>
      <c r="M22" s="801">
        <f t="shared" si="0"/>
        <v>0.036</v>
      </c>
      <c r="N22" s="65"/>
      <c r="O22" s="69"/>
      <c r="P22" s="357"/>
      <c r="Q22" s="57">
        <f>J22</f>
        <v>50000</v>
      </c>
      <c r="R22" s="348"/>
      <c r="S22" s="57"/>
      <c r="T22" s="70"/>
      <c r="U22" s="70"/>
      <c r="V22" s="70"/>
      <c r="W22" s="70"/>
    </row>
    <row r="23" spans="1:23" s="2" customFormat="1" ht="12.75" customHeight="1">
      <c r="A23" s="124">
        <v>1306</v>
      </c>
      <c r="B23" s="830" t="s">
        <v>69</v>
      </c>
      <c r="C23" s="430">
        <v>30000</v>
      </c>
      <c r="D23" s="398">
        <v>40346</v>
      </c>
      <c r="E23" s="404">
        <f>C23</f>
        <v>30000</v>
      </c>
      <c r="F23" s="404">
        <v>45600</v>
      </c>
      <c r="G23" s="398">
        <v>42000</v>
      </c>
      <c r="H23" s="398"/>
      <c r="I23" s="398"/>
      <c r="J23" s="757">
        <v>50000</v>
      </c>
      <c r="K23" s="757">
        <v>50000</v>
      </c>
      <c r="L23" s="757">
        <v>0</v>
      </c>
      <c r="M23" s="801">
        <f t="shared" si="0"/>
        <v>0</v>
      </c>
      <c r="N23" s="65"/>
      <c r="O23" s="69"/>
      <c r="P23" s="357"/>
      <c r="Q23" s="57">
        <f>J23</f>
        <v>50000</v>
      </c>
      <c r="R23" s="348"/>
      <c r="S23" s="57"/>
      <c r="T23" s="70"/>
      <c r="U23" s="70"/>
      <c r="V23" s="70"/>
      <c r="W23" s="70"/>
    </row>
    <row r="24" spans="1:23" s="2" customFormat="1" ht="12.75" customHeight="1" hidden="1">
      <c r="A24" s="124">
        <v>1317</v>
      </c>
      <c r="B24" s="518" t="s">
        <v>176</v>
      </c>
      <c r="C24" s="430"/>
      <c r="D24" s="398">
        <v>37000</v>
      </c>
      <c r="E24" s="404"/>
      <c r="F24" s="404"/>
      <c r="G24" s="398"/>
      <c r="H24" s="398"/>
      <c r="I24" s="398"/>
      <c r="J24" s="757"/>
      <c r="K24" s="757"/>
      <c r="L24" s="757"/>
      <c r="M24" s="801" t="e">
        <f t="shared" si="0"/>
        <v>#DIV/0!</v>
      </c>
      <c r="N24" s="65"/>
      <c r="O24" s="69"/>
      <c r="P24" s="357"/>
      <c r="Q24" s="57"/>
      <c r="R24" s="348"/>
      <c r="S24" s="57"/>
      <c r="T24" s="70"/>
      <c r="U24" s="70"/>
      <c r="V24" s="70"/>
      <c r="W24" s="70"/>
    </row>
    <row r="25" spans="1:23" s="2" customFormat="1" ht="12.75" customHeight="1">
      <c r="A25" s="124">
        <v>1313</v>
      </c>
      <c r="B25" s="830" t="s">
        <v>24</v>
      </c>
      <c r="C25" s="430">
        <v>40000</v>
      </c>
      <c r="D25" s="398">
        <v>37752</v>
      </c>
      <c r="E25" s="404">
        <f>C25</f>
        <v>40000</v>
      </c>
      <c r="F25" s="404">
        <v>33632</v>
      </c>
      <c r="G25" s="398">
        <v>60000</v>
      </c>
      <c r="H25" s="398">
        <v>11920</v>
      </c>
      <c r="I25" s="398">
        <v>31920</v>
      </c>
      <c r="J25" s="757">
        <f>60000-30000</f>
        <v>30000</v>
      </c>
      <c r="K25" s="757">
        <f>60000-30000</f>
        <v>30000</v>
      </c>
      <c r="L25" s="757">
        <f>25401-L49</f>
        <v>5401</v>
      </c>
      <c r="M25" s="801">
        <f t="shared" si="0"/>
        <v>0.18003333333333332</v>
      </c>
      <c r="N25" s="65"/>
      <c r="O25" s="69"/>
      <c r="P25" s="357"/>
      <c r="Q25" s="57">
        <f aca="true" t="shared" si="1" ref="Q25:Q31">J25</f>
        <v>30000</v>
      </c>
      <c r="R25" s="348"/>
      <c r="S25" s="57"/>
      <c r="T25" s="70"/>
      <c r="U25" s="70"/>
      <c r="V25" s="70"/>
      <c r="W25" s="70"/>
    </row>
    <row r="26" spans="1:23" s="2" customFormat="1" ht="12.75" customHeight="1">
      <c r="A26" s="124">
        <v>1318</v>
      </c>
      <c r="B26" s="830" t="s">
        <v>25</v>
      </c>
      <c r="C26" s="430">
        <v>40000</v>
      </c>
      <c r="D26" s="398">
        <v>28894</v>
      </c>
      <c r="E26" s="404">
        <v>15265</v>
      </c>
      <c r="F26" s="404">
        <v>15801</v>
      </c>
      <c r="G26" s="398">
        <v>40000</v>
      </c>
      <c r="H26" s="398">
        <v>19699</v>
      </c>
      <c r="I26" s="398">
        <v>19699</v>
      </c>
      <c r="J26" s="757">
        <v>19000</v>
      </c>
      <c r="K26" s="757">
        <v>19000</v>
      </c>
      <c r="L26" s="757">
        <v>28689</v>
      </c>
      <c r="M26" s="801">
        <f t="shared" si="0"/>
        <v>1.5099473684210527</v>
      </c>
      <c r="N26" s="65"/>
      <c r="O26" s="69"/>
      <c r="P26" s="357"/>
      <c r="Q26" s="57">
        <f t="shared" si="1"/>
        <v>19000</v>
      </c>
      <c r="R26" s="348"/>
      <c r="S26" s="57">
        <v>9000</v>
      </c>
      <c r="T26" s="70"/>
      <c r="U26" s="70"/>
      <c r="V26" s="70"/>
      <c r="W26" s="70"/>
    </row>
    <row r="27" spans="1:23" s="2" customFormat="1" ht="12.75" customHeight="1">
      <c r="A27" s="124">
        <v>1311</v>
      </c>
      <c r="B27" s="830" t="s">
        <v>26</v>
      </c>
      <c r="C27" s="430">
        <v>120000</v>
      </c>
      <c r="D27" s="398">
        <v>135729</v>
      </c>
      <c r="E27" s="404">
        <v>127328</v>
      </c>
      <c r="F27" s="404">
        <v>117696</v>
      </c>
      <c r="G27" s="398">
        <v>130000</v>
      </c>
      <c r="H27" s="398"/>
      <c r="I27" s="398"/>
      <c r="J27" s="757">
        <v>130000</v>
      </c>
      <c r="K27" s="757">
        <v>130000</v>
      </c>
      <c r="L27" s="757">
        <v>0</v>
      </c>
      <c r="M27" s="801">
        <f t="shared" si="0"/>
        <v>0</v>
      </c>
      <c r="N27" s="65"/>
      <c r="O27" s="69"/>
      <c r="P27" s="357"/>
      <c r="Q27" s="57">
        <f t="shared" si="1"/>
        <v>130000</v>
      </c>
      <c r="R27" s="348"/>
      <c r="S27" s="57"/>
      <c r="T27" s="70"/>
      <c r="U27" s="70"/>
      <c r="V27" s="70"/>
      <c r="W27" s="70"/>
    </row>
    <row r="28" spans="1:23" s="2" customFormat="1" ht="12.75" customHeight="1" hidden="1">
      <c r="A28" s="124">
        <v>1500</v>
      </c>
      <c r="B28" s="518" t="s">
        <v>20</v>
      </c>
      <c r="C28" s="430">
        <v>402930</v>
      </c>
      <c r="D28" s="398">
        <v>452092</v>
      </c>
      <c r="E28" s="404">
        <v>510154</v>
      </c>
      <c r="F28" s="404">
        <v>628230</v>
      </c>
      <c r="G28" s="398"/>
      <c r="H28" s="398">
        <v>40635</v>
      </c>
      <c r="I28" s="398">
        <v>40635</v>
      </c>
      <c r="J28" s="757">
        <v>0</v>
      </c>
      <c r="K28" s="757">
        <v>0</v>
      </c>
      <c r="L28" s="757"/>
      <c r="M28" s="801" t="e">
        <f t="shared" si="0"/>
        <v>#DIV/0!</v>
      </c>
      <c r="N28" s="65"/>
      <c r="O28" s="69"/>
      <c r="P28" s="357"/>
      <c r="Q28" s="57">
        <f t="shared" si="1"/>
        <v>0</v>
      </c>
      <c r="R28" s="348"/>
      <c r="S28" s="57"/>
      <c r="T28" s="70"/>
      <c r="U28" s="70"/>
      <c r="V28" s="70"/>
      <c r="W28" s="70"/>
    </row>
    <row r="29" spans="1:23" s="2" customFormat="1" ht="12.75" customHeight="1">
      <c r="A29" s="124">
        <v>1323</v>
      </c>
      <c r="B29" s="830" t="s">
        <v>40</v>
      </c>
      <c r="C29" s="430">
        <v>50000</v>
      </c>
      <c r="D29" s="398">
        <v>26825</v>
      </c>
      <c r="E29" s="404">
        <v>15397</v>
      </c>
      <c r="F29" s="404">
        <v>15397</v>
      </c>
      <c r="G29" s="398">
        <v>30000</v>
      </c>
      <c r="H29" s="398">
        <v>16672</v>
      </c>
      <c r="I29" s="398">
        <v>16762</v>
      </c>
      <c r="J29" s="757">
        <v>30000</v>
      </c>
      <c r="K29" s="757">
        <v>30000</v>
      </c>
      <c r="L29" s="757">
        <v>15408</v>
      </c>
      <c r="M29" s="801">
        <f t="shared" si="0"/>
        <v>0.5136</v>
      </c>
      <c r="N29" s="65"/>
      <c r="O29" s="69"/>
      <c r="P29" s="357"/>
      <c r="Q29" s="57">
        <f t="shared" si="1"/>
        <v>30000</v>
      </c>
      <c r="R29" s="348"/>
      <c r="S29" s="57">
        <v>12000</v>
      </c>
      <c r="T29" s="70"/>
      <c r="U29" s="70"/>
      <c r="V29" s="70"/>
      <c r="W29" s="70"/>
    </row>
    <row r="30" spans="1:23" s="2" customFormat="1" ht="12.75" customHeight="1">
      <c r="A30" s="124">
        <v>1324</v>
      </c>
      <c r="B30" s="830" t="s">
        <v>41</v>
      </c>
      <c r="C30" s="430">
        <v>30000</v>
      </c>
      <c r="D30" s="398">
        <v>64487</v>
      </c>
      <c r="E30" s="404">
        <f>C30</f>
        <v>30000</v>
      </c>
      <c r="F30" s="404">
        <v>42642</v>
      </c>
      <c r="G30" s="398">
        <v>60000</v>
      </c>
      <c r="H30" s="398">
        <v>29980</v>
      </c>
      <c r="I30" s="398">
        <v>29980</v>
      </c>
      <c r="J30" s="757">
        <v>70000</v>
      </c>
      <c r="K30" s="757">
        <v>70000</v>
      </c>
      <c r="L30" s="757">
        <v>31300</v>
      </c>
      <c r="M30" s="801">
        <f t="shared" si="0"/>
        <v>0.4471428571428571</v>
      </c>
      <c r="N30" s="65"/>
      <c r="O30" s="69"/>
      <c r="P30" s="357"/>
      <c r="Q30" s="57">
        <f t="shared" si="1"/>
        <v>70000</v>
      </c>
      <c r="R30" s="348"/>
      <c r="S30" s="57">
        <v>50000</v>
      </c>
      <c r="T30" s="70"/>
      <c r="U30" s="70"/>
      <c r="V30" s="70"/>
      <c r="W30" s="70"/>
    </row>
    <row r="31" spans="1:23" s="2" customFormat="1" ht="12.75" customHeight="1">
      <c r="A31" s="124">
        <v>1325</v>
      </c>
      <c r="B31" s="833" t="s">
        <v>177</v>
      </c>
      <c r="C31" s="430">
        <v>80000</v>
      </c>
      <c r="D31" s="398">
        <v>291326</v>
      </c>
      <c r="E31" s="404">
        <v>316888</v>
      </c>
      <c r="F31" s="404">
        <v>316888</v>
      </c>
      <c r="G31" s="398">
        <v>330000</v>
      </c>
      <c r="H31" s="398">
        <v>309354</v>
      </c>
      <c r="I31" s="398">
        <v>316554</v>
      </c>
      <c r="J31" s="835">
        <f>355000-40000-50000</f>
        <v>265000</v>
      </c>
      <c r="K31" s="835">
        <f>355000-40000-50000</f>
        <v>265000</v>
      </c>
      <c r="L31" s="835">
        <v>298170</v>
      </c>
      <c r="M31" s="836">
        <f t="shared" si="0"/>
        <v>1.1251698113207547</v>
      </c>
      <c r="N31" s="65"/>
      <c r="O31" s="69"/>
      <c r="P31" s="357"/>
      <c r="Q31" s="57">
        <f t="shared" si="1"/>
        <v>265000</v>
      </c>
      <c r="R31" s="348"/>
      <c r="S31" s="57">
        <v>75000</v>
      </c>
      <c r="T31" s="70"/>
      <c r="U31" s="70"/>
      <c r="V31" s="70"/>
      <c r="W31" s="70"/>
    </row>
    <row r="32" spans="1:23" s="2" customFormat="1" ht="12.75" customHeight="1" hidden="1">
      <c r="A32" s="124"/>
      <c r="B32" s="535" t="s">
        <v>178</v>
      </c>
      <c r="C32" s="576"/>
      <c r="D32" s="577"/>
      <c r="E32" s="577">
        <v>50000</v>
      </c>
      <c r="F32" s="577">
        <v>50000</v>
      </c>
      <c r="G32" s="577"/>
      <c r="H32" s="577"/>
      <c r="I32" s="406"/>
      <c r="J32" s="835"/>
      <c r="K32" s="835"/>
      <c r="L32" s="835"/>
      <c r="M32" s="836" t="e">
        <f t="shared" si="0"/>
        <v>#DIV/0!</v>
      </c>
      <c r="N32" s="65"/>
      <c r="O32" s="69"/>
      <c r="P32" s="357"/>
      <c r="Q32" s="57"/>
      <c r="R32" s="348"/>
      <c r="S32" s="57"/>
      <c r="T32" s="70"/>
      <c r="U32" s="70"/>
      <c r="V32" s="70"/>
      <c r="W32" s="70"/>
    </row>
    <row r="33" spans="1:23" s="2" customFormat="1" ht="12.75" customHeight="1">
      <c r="A33" s="124">
        <v>1312</v>
      </c>
      <c r="B33" s="834" t="s">
        <v>179</v>
      </c>
      <c r="C33" s="576">
        <v>370000</v>
      </c>
      <c r="D33" s="577">
        <v>246390</v>
      </c>
      <c r="E33" s="593">
        <f>C33</f>
        <v>370000</v>
      </c>
      <c r="F33" s="593">
        <v>309048</v>
      </c>
      <c r="G33" s="577">
        <v>370000</v>
      </c>
      <c r="H33" s="577">
        <v>52</v>
      </c>
      <c r="I33" s="398">
        <v>2551</v>
      </c>
      <c r="J33" s="835">
        <v>270000</v>
      </c>
      <c r="K33" s="835">
        <v>270000</v>
      </c>
      <c r="L33" s="835">
        <v>4802</v>
      </c>
      <c r="M33" s="836">
        <f t="shared" si="0"/>
        <v>0.017785185185185185</v>
      </c>
      <c r="N33" s="65"/>
      <c r="O33" s="69"/>
      <c r="P33" s="357"/>
      <c r="Q33" s="57">
        <f aca="true" t="shared" si="2" ref="Q33:Q40">J33</f>
        <v>270000</v>
      </c>
      <c r="R33" s="348"/>
      <c r="S33" s="57"/>
      <c r="T33" s="70"/>
      <c r="U33" s="70"/>
      <c r="V33" s="70"/>
      <c r="W33" s="70"/>
    </row>
    <row r="34" spans="1:23" s="2" customFormat="1" ht="12.75" customHeight="1" hidden="1">
      <c r="A34" s="124"/>
      <c r="B34" s="644" t="s">
        <v>341</v>
      </c>
      <c r="C34" s="576"/>
      <c r="D34" s="577"/>
      <c r="E34" s="593"/>
      <c r="F34" s="593"/>
      <c r="G34" s="577"/>
      <c r="H34" s="577"/>
      <c r="I34" s="398"/>
      <c r="J34" s="757">
        <v>0</v>
      </c>
      <c r="K34" s="757">
        <v>0</v>
      </c>
      <c r="L34" s="757"/>
      <c r="M34" s="801" t="e">
        <f t="shared" si="0"/>
        <v>#DIV/0!</v>
      </c>
      <c r="N34" s="65"/>
      <c r="O34" s="69"/>
      <c r="P34" s="357"/>
      <c r="Q34" s="57">
        <f t="shared" si="2"/>
        <v>0</v>
      </c>
      <c r="R34" s="348"/>
      <c r="S34" s="57" t="s">
        <v>356</v>
      </c>
      <c r="T34" s="70"/>
      <c r="U34" s="70"/>
      <c r="V34" s="70"/>
      <c r="W34" s="70"/>
    </row>
    <row r="35" spans="1:23" s="2" customFormat="1" ht="12.75" customHeight="1" hidden="1">
      <c r="A35" s="124"/>
      <c r="B35" s="592" t="s">
        <v>245</v>
      </c>
      <c r="C35" s="576"/>
      <c r="D35" s="577"/>
      <c r="E35" s="593"/>
      <c r="F35" s="593"/>
      <c r="G35" s="577"/>
      <c r="H35" s="577"/>
      <c r="I35" s="398"/>
      <c r="J35" s="757"/>
      <c r="K35" s="757"/>
      <c r="L35" s="757"/>
      <c r="M35" s="801" t="e">
        <f t="shared" si="0"/>
        <v>#DIV/0!</v>
      </c>
      <c r="N35" s="65"/>
      <c r="O35" s="69"/>
      <c r="P35" s="357"/>
      <c r="Q35" s="57">
        <f t="shared" si="2"/>
        <v>0</v>
      </c>
      <c r="R35" s="348"/>
      <c r="S35" s="57"/>
      <c r="T35" s="70"/>
      <c r="U35" s="70"/>
      <c r="V35" s="70"/>
      <c r="W35" s="70"/>
    </row>
    <row r="36" spans="1:23" s="2" customFormat="1" ht="12.75" customHeight="1">
      <c r="A36" s="124">
        <v>1328</v>
      </c>
      <c r="B36" s="831" t="s">
        <v>44</v>
      </c>
      <c r="C36" s="576">
        <v>20000</v>
      </c>
      <c r="D36" s="577">
        <v>36664</v>
      </c>
      <c r="E36" s="593">
        <v>30050</v>
      </c>
      <c r="F36" s="593">
        <v>30050</v>
      </c>
      <c r="G36" s="577">
        <v>40000</v>
      </c>
      <c r="H36" s="577">
        <v>12</v>
      </c>
      <c r="I36" s="398">
        <v>7114</v>
      </c>
      <c r="J36" s="757">
        <v>38000</v>
      </c>
      <c r="K36" s="757">
        <v>38000</v>
      </c>
      <c r="L36" s="757">
        <v>0</v>
      </c>
      <c r="M36" s="801">
        <f t="shared" si="0"/>
        <v>0</v>
      </c>
      <c r="N36" s="65"/>
      <c r="O36" s="69"/>
      <c r="P36" s="357"/>
      <c r="Q36" s="57">
        <f t="shared" si="2"/>
        <v>38000</v>
      </c>
      <c r="R36" s="348"/>
      <c r="S36" s="57">
        <v>24000</v>
      </c>
      <c r="T36" s="70"/>
      <c r="U36" s="70"/>
      <c r="V36" s="70"/>
      <c r="W36" s="70"/>
    </row>
    <row r="37" spans="1:23" s="2" customFormat="1" ht="12.75" customHeight="1">
      <c r="A37" s="124">
        <v>1316</v>
      </c>
      <c r="B37" s="831" t="s">
        <v>220</v>
      </c>
      <c r="C37" s="576">
        <v>60000</v>
      </c>
      <c r="D37" s="577">
        <v>148949</v>
      </c>
      <c r="E37" s="593">
        <v>38895</v>
      </c>
      <c r="F37" s="593">
        <v>38895</v>
      </c>
      <c r="G37" s="577">
        <v>50000</v>
      </c>
      <c r="H37" s="577">
        <v>42335</v>
      </c>
      <c r="I37" s="398">
        <v>42335</v>
      </c>
      <c r="J37" s="757">
        <v>60000</v>
      </c>
      <c r="K37" s="757">
        <v>60000</v>
      </c>
      <c r="L37" s="757">
        <v>40439</v>
      </c>
      <c r="M37" s="801">
        <f t="shared" si="0"/>
        <v>0.6739833333333334</v>
      </c>
      <c r="N37" s="65"/>
      <c r="O37" s="69"/>
      <c r="P37" s="357"/>
      <c r="Q37" s="57">
        <f t="shared" si="2"/>
        <v>60000</v>
      </c>
      <c r="R37" s="348"/>
      <c r="S37" s="57">
        <v>30000</v>
      </c>
      <c r="T37" s="70"/>
      <c r="U37" s="70"/>
      <c r="V37" s="70"/>
      <c r="W37" s="70"/>
    </row>
    <row r="38" spans="1:23" s="2" customFormat="1" ht="12.75" customHeight="1">
      <c r="A38" s="124">
        <v>1208</v>
      </c>
      <c r="B38" s="831" t="s">
        <v>180</v>
      </c>
      <c r="C38" s="576">
        <v>50000</v>
      </c>
      <c r="D38" s="577">
        <v>145055</v>
      </c>
      <c r="E38" s="593">
        <f>C38</f>
        <v>50000</v>
      </c>
      <c r="F38" s="593">
        <v>184574</v>
      </c>
      <c r="G38" s="577">
        <v>123500</v>
      </c>
      <c r="H38" s="577">
        <v>112217</v>
      </c>
      <c r="I38" s="398">
        <v>112217</v>
      </c>
      <c r="J38" s="757">
        <v>155000</v>
      </c>
      <c r="K38" s="757">
        <v>155000</v>
      </c>
      <c r="L38" s="757">
        <v>117932</v>
      </c>
      <c r="M38" s="801">
        <f t="shared" si="0"/>
        <v>0.7608516129032258</v>
      </c>
      <c r="N38" s="65"/>
      <c r="O38" s="69"/>
      <c r="P38" s="357"/>
      <c r="Q38" s="57">
        <f t="shared" si="2"/>
        <v>155000</v>
      </c>
      <c r="R38" s="348"/>
      <c r="S38" s="57">
        <v>105000</v>
      </c>
      <c r="T38" s="70"/>
      <c r="U38" s="70"/>
      <c r="V38" s="70"/>
      <c r="W38" s="70"/>
    </row>
    <row r="39" spans="1:23" s="2" customFormat="1" ht="12.75" customHeight="1">
      <c r="A39" s="124">
        <v>1322</v>
      </c>
      <c r="B39" s="831" t="s">
        <v>221</v>
      </c>
      <c r="C39" s="576"/>
      <c r="D39" s="577"/>
      <c r="E39" s="593"/>
      <c r="F39" s="593"/>
      <c r="G39" s="577">
        <v>52000</v>
      </c>
      <c r="H39" s="577">
        <v>51462</v>
      </c>
      <c r="I39" s="398">
        <v>51462</v>
      </c>
      <c r="J39" s="757">
        <v>96000</v>
      </c>
      <c r="K39" s="757">
        <v>96000</v>
      </c>
      <c r="L39" s="757">
        <v>47617</v>
      </c>
      <c r="M39" s="801">
        <f t="shared" si="0"/>
        <v>0.4960104166666667</v>
      </c>
      <c r="N39" s="65"/>
      <c r="O39" s="69"/>
      <c r="P39" s="357"/>
      <c r="Q39" s="57">
        <f t="shared" si="2"/>
        <v>96000</v>
      </c>
      <c r="R39" s="348"/>
      <c r="S39" s="57">
        <v>66000</v>
      </c>
      <c r="T39" s="70"/>
      <c r="U39" s="70"/>
      <c r="V39" s="70"/>
      <c r="W39" s="70"/>
    </row>
    <row r="40" spans="1:23" s="2" customFormat="1" ht="12.75" customHeight="1">
      <c r="A40" s="124">
        <v>1321</v>
      </c>
      <c r="B40" s="831" t="s">
        <v>181</v>
      </c>
      <c r="C40" s="576">
        <v>15000</v>
      </c>
      <c r="D40" s="577">
        <v>15013</v>
      </c>
      <c r="E40" s="593">
        <f>C40</f>
        <v>15000</v>
      </c>
      <c r="F40" s="593">
        <v>15211</v>
      </c>
      <c r="G40" s="577">
        <v>15000</v>
      </c>
      <c r="H40" s="577">
        <v>0</v>
      </c>
      <c r="I40" s="398"/>
      <c r="J40" s="757">
        <v>15000</v>
      </c>
      <c r="K40" s="757">
        <v>15000</v>
      </c>
      <c r="L40" s="757">
        <v>0</v>
      </c>
      <c r="M40" s="801">
        <f t="shared" si="0"/>
        <v>0</v>
      </c>
      <c r="N40" s="65"/>
      <c r="O40" s="69"/>
      <c r="P40" s="357"/>
      <c r="Q40" s="57">
        <f t="shared" si="2"/>
        <v>15000</v>
      </c>
      <c r="R40" s="348"/>
      <c r="S40" s="57"/>
      <c r="T40" s="70"/>
      <c r="U40" s="70"/>
      <c r="V40" s="70"/>
      <c r="W40" s="70"/>
    </row>
    <row r="41" spans="1:23" s="2" customFormat="1" ht="12.75" customHeight="1" hidden="1">
      <c r="A41" s="124">
        <v>1304</v>
      </c>
      <c r="B41" s="592" t="s">
        <v>45</v>
      </c>
      <c r="C41" s="576">
        <v>20000</v>
      </c>
      <c r="D41" s="577">
        <v>9000</v>
      </c>
      <c r="E41" s="593">
        <f>C41</f>
        <v>20000</v>
      </c>
      <c r="F41" s="593">
        <v>20602</v>
      </c>
      <c r="G41" s="577"/>
      <c r="H41" s="577">
        <v>0</v>
      </c>
      <c r="I41" s="398"/>
      <c r="J41" s="757"/>
      <c r="K41" s="757"/>
      <c r="L41" s="757"/>
      <c r="M41" s="801" t="e">
        <f t="shared" si="0"/>
        <v>#DIV/0!</v>
      </c>
      <c r="N41" s="65"/>
      <c r="O41" s="69"/>
      <c r="P41" s="357"/>
      <c r="Q41" s="57"/>
      <c r="R41" s="348"/>
      <c r="S41" s="57"/>
      <c r="T41" s="70"/>
      <c r="U41" s="70"/>
      <c r="V41" s="70"/>
      <c r="W41" s="70"/>
    </row>
    <row r="42" spans="1:23" s="2" customFormat="1" ht="12.75" customHeight="1">
      <c r="A42" s="124">
        <v>1320</v>
      </c>
      <c r="B42" s="834" t="s">
        <v>182</v>
      </c>
      <c r="C42" s="576">
        <v>50000</v>
      </c>
      <c r="D42" s="577">
        <v>5500</v>
      </c>
      <c r="E42" s="593">
        <v>54436</v>
      </c>
      <c r="F42" s="593">
        <v>54436</v>
      </c>
      <c r="G42" s="577">
        <v>80000</v>
      </c>
      <c r="H42" s="577">
        <v>1295</v>
      </c>
      <c r="I42" s="398">
        <v>9535</v>
      </c>
      <c r="J42" s="835">
        <f>80000-10000</f>
        <v>70000</v>
      </c>
      <c r="K42" s="835">
        <f>80000-10000</f>
        <v>70000</v>
      </c>
      <c r="L42" s="835">
        <v>1462</v>
      </c>
      <c r="M42" s="836">
        <f t="shared" si="0"/>
        <v>0.020885714285714285</v>
      </c>
      <c r="N42" s="65"/>
      <c r="O42" s="69"/>
      <c r="P42" s="357"/>
      <c r="Q42" s="57">
        <f>J42</f>
        <v>70000</v>
      </c>
      <c r="R42" s="348"/>
      <c r="S42" s="57">
        <v>30000</v>
      </c>
      <c r="T42" s="70"/>
      <c r="U42" s="70"/>
      <c r="V42" s="70"/>
      <c r="W42" s="70"/>
    </row>
    <row r="43" spans="1:23" s="2" customFormat="1" ht="12.75" customHeight="1" hidden="1">
      <c r="A43" s="124"/>
      <c r="B43" s="592" t="s">
        <v>183</v>
      </c>
      <c r="C43" s="576"/>
      <c r="D43" s="577"/>
      <c r="E43" s="593">
        <v>10000</v>
      </c>
      <c r="F43" s="593">
        <v>10000</v>
      </c>
      <c r="G43" s="577"/>
      <c r="H43" s="577"/>
      <c r="I43" s="406"/>
      <c r="J43" s="757"/>
      <c r="K43" s="757"/>
      <c r="L43" s="757"/>
      <c r="M43" s="801" t="e">
        <f t="shared" si="0"/>
        <v>#DIV/0!</v>
      </c>
      <c r="N43" s="65"/>
      <c r="O43" s="69"/>
      <c r="P43" s="357"/>
      <c r="Q43" s="57"/>
      <c r="R43" s="348"/>
      <c r="S43" s="57"/>
      <c r="T43" s="70"/>
      <c r="U43" s="70"/>
      <c r="V43" s="70"/>
      <c r="W43" s="70"/>
    </row>
    <row r="44" spans="1:23" s="2" customFormat="1" ht="12.75" customHeight="1">
      <c r="A44" s="124">
        <v>1305</v>
      </c>
      <c r="B44" s="592" t="s">
        <v>343</v>
      </c>
      <c r="C44" s="576">
        <v>20000</v>
      </c>
      <c r="D44" s="577">
        <v>19921</v>
      </c>
      <c r="E44" s="593">
        <f>C44</f>
        <v>20000</v>
      </c>
      <c r="F44" s="593">
        <v>12524</v>
      </c>
      <c r="G44" s="577">
        <v>20000</v>
      </c>
      <c r="H44" s="577">
        <v>7744</v>
      </c>
      <c r="I44" s="398">
        <v>8349</v>
      </c>
      <c r="J44" s="757">
        <v>10000</v>
      </c>
      <c r="K44" s="757">
        <v>10000</v>
      </c>
      <c r="L44" s="757">
        <v>0</v>
      </c>
      <c r="M44" s="801">
        <f t="shared" si="0"/>
        <v>0</v>
      </c>
      <c r="N44" s="65"/>
      <c r="O44" s="69"/>
      <c r="P44" s="357"/>
      <c r="Q44" s="57">
        <f>J44</f>
        <v>10000</v>
      </c>
      <c r="R44" s="348"/>
      <c r="S44" s="57"/>
      <c r="T44" s="70"/>
      <c r="U44" s="70"/>
      <c r="V44" s="70"/>
      <c r="W44" s="70"/>
    </row>
    <row r="45" spans="1:23" s="2" customFormat="1" ht="12.75" customHeight="1">
      <c r="A45" s="124">
        <v>1905</v>
      </c>
      <c r="B45" s="831" t="s">
        <v>186</v>
      </c>
      <c r="C45" s="576"/>
      <c r="D45" s="577"/>
      <c r="E45" s="593">
        <v>40000</v>
      </c>
      <c r="F45" s="593">
        <v>85118</v>
      </c>
      <c r="G45" s="577">
        <v>90000</v>
      </c>
      <c r="H45" s="577">
        <v>70</v>
      </c>
      <c r="I45" s="406">
        <v>6074</v>
      </c>
      <c r="J45" s="757">
        <v>80000</v>
      </c>
      <c r="K45" s="757">
        <v>80000</v>
      </c>
      <c r="L45" s="757">
        <v>0</v>
      </c>
      <c r="M45" s="801">
        <f t="shared" si="0"/>
        <v>0</v>
      </c>
      <c r="N45" s="65"/>
      <c r="O45" s="69"/>
      <c r="P45" s="357"/>
      <c r="Q45" s="57">
        <f>J45</f>
        <v>80000</v>
      </c>
      <c r="R45" s="348"/>
      <c r="S45" s="57"/>
      <c r="T45" s="70"/>
      <c r="U45" s="70"/>
      <c r="V45" s="70"/>
      <c r="W45" s="70"/>
    </row>
    <row r="46" spans="1:23" s="2" customFormat="1" ht="12.75" customHeight="1" hidden="1">
      <c r="A46" s="124"/>
      <c r="B46" s="592" t="s">
        <v>308</v>
      </c>
      <c r="C46" s="576"/>
      <c r="D46" s="577"/>
      <c r="E46" s="593">
        <v>15000</v>
      </c>
      <c r="F46" s="593">
        <v>15000</v>
      </c>
      <c r="G46" s="577"/>
      <c r="H46" s="577"/>
      <c r="I46" s="406"/>
      <c r="J46" s="757"/>
      <c r="K46" s="757"/>
      <c r="L46" s="757"/>
      <c r="M46" s="801" t="e">
        <f t="shared" si="0"/>
        <v>#DIV/0!</v>
      </c>
      <c r="N46" s="65"/>
      <c r="O46" s="69"/>
      <c r="P46" s="357"/>
      <c r="Q46" s="57"/>
      <c r="R46" s="348"/>
      <c r="S46" s="57"/>
      <c r="T46" s="70"/>
      <c r="U46" s="70"/>
      <c r="V46" s="70"/>
      <c r="W46" s="70"/>
    </row>
    <row r="47" spans="1:23" s="2" customFormat="1" ht="12.75" customHeight="1">
      <c r="A47" s="124">
        <v>1308</v>
      </c>
      <c r="B47" s="834" t="s">
        <v>317</v>
      </c>
      <c r="C47" s="576"/>
      <c r="D47" s="577"/>
      <c r="E47" s="593"/>
      <c r="F47" s="593">
        <v>86701</v>
      </c>
      <c r="G47" s="577">
        <v>210000</v>
      </c>
      <c r="H47" s="577">
        <v>1984</v>
      </c>
      <c r="I47" s="406">
        <v>194070</v>
      </c>
      <c r="J47" s="835">
        <v>106000</v>
      </c>
      <c r="K47" s="835">
        <v>106000</v>
      </c>
      <c r="L47" s="835">
        <v>0</v>
      </c>
      <c r="M47" s="836">
        <f t="shared" si="0"/>
        <v>0</v>
      </c>
      <c r="N47" s="65"/>
      <c r="O47" s="69"/>
      <c r="P47" s="357"/>
      <c r="Q47" s="57">
        <f aca="true" t="shared" si="3" ref="Q47:Q52">J47</f>
        <v>106000</v>
      </c>
      <c r="R47" s="348"/>
      <c r="S47" s="57">
        <v>6000</v>
      </c>
      <c r="T47" s="70"/>
      <c r="U47" s="70"/>
      <c r="V47" s="70"/>
      <c r="W47" s="70"/>
    </row>
    <row r="48" spans="1:23" s="2" customFormat="1" ht="12.75" customHeight="1" hidden="1">
      <c r="A48" s="124">
        <v>1331</v>
      </c>
      <c r="B48" s="592" t="s">
        <v>254</v>
      </c>
      <c r="C48" s="576"/>
      <c r="D48" s="577"/>
      <c r="E48" s="593"/>
      <c r="F48" s="593"/>
      <c r="G48" s="577">
        <v>90000</v>
      </c>
      <c r="H48" s="577"/>
      <c r="I48" s="406">
        <v>1305</v>
      </c>
      <c r="J48" s="757"/>
      <c r="K48" s="757"/>
      <c r="L48" s="757"/>
      <c r="M48" s="801" t="e">
        <f t="shared" si="0"/>
        <v>#DIV/0!</v>
      </c>
      <c r="N48" s="65"/>
      <c r="O48" s="69"/>
      <c r="P48" s="357"/>
      <c r="Q48" s="57">
        <f t="shared" si="3"/>
        <v>0</v>
      </c>
      <c r="R48" s="348"/>
      <c r="S48" s="57"/>
      <c r="T48" s="70"/>
      <c r="U48" s="70"/>
      <c r="V48" s="70"/>
      <c r="W48" s="70"/>
    </row>
    <row r="49" spans="1:23" s="2" customFormat="1" ht="12.75" customHeight="1">
      <c r="A49" s="124">
        <v>1313</v>
      </c>
      <c r="B49" s="832" t="s">
        <v>342</v>
      </c>
      <c r="C49" s="798"/>
      <c r="D49" s="398"/>
      <c r="E49" s="404"/>
      <c r="F49" s="404"/>
      <c r="G49" s="398"/>
      <c r="H49" s="398"/>
      <c r="I49" s="398"/>
      <c r="J49" s="757">
        <v>20000</v>
      </c>
      <c r="K49" s="757">
        <v>20000</v>
      </c>
      <c r="L49" s="757">
        <v>20000</v>
      </c>
      <c r="M49" s="801">
        <f t="shared" si="0"/>
        <v>1</v>
      </c>
      <c r="N49" s="65"/>
      <c r="O49" s="69"/>
      <c r="P49" s="357"/>
      <c r="Q49" s="57">
        <f t="shared" si="3"/>
        <v>20000</v>
      </c>
      <c r="R49" s="348"/>
      <c r="S49" s="57"/>
      <c r="T49" s="70"/>
      <c r="U49" s="70"/>
      <c r="V49" s="70"/>
      <c r="W49" s="70"/>
    </row>
    <row r="50" spans="1:23" s="2" customFormat="1" ht="12.75" customHeight="1">
      <c r="A50" s="124">
        <v>1302</v>
      </c>
      <c r="B50" s="832" t="s">
        <v>344</v>
      </c>
      <c r="C50" s="798"/>
      <c r="D50" s="398"/>
      <c r="E50" s="404"/>
      <c r="F50" s="404"/>
      <c r="G50" s="398"/>
      <c r="H50" s="398"/>
      <c r="I50" s="398"/>
      <c r="J50" s="757">
        <v>10000</v>
      </c>
      <c r="K50" s="757">
        <v>10000</v>
      </c>
      <c r="L50" s="757">
        <v>10000</v>
      </c>
      <c r="M50" s="801">
        <f t="shared" si="0"/>
        <v>1</v>
      </c>
      <c r="N50" s="65"/>
      <c r="O50" s="69"/>
      <c r="P50" s="357"/>
      <c r="Q50" s="57">
        <f t="shared" si="3"/>
        <v>10000</v>
      </c>
      <c r="R50" s="348"/>
      <c r="S50" s="57"/>
      <c r="T50" s="70"/>
      <c r="U50" s="70"/>
      <c r="V50" s="70"/>
      <c r="W50" s="70"/>
    </row>
    <row r="51" spans="1:23" s="2" customFormat="1" ht="12.75" customHeight="1" hidden="1">
      <c r="A51" s="124"/>
      <c r="B51" s="530" t="s">
        <v>225</v>
      </c>
      <c r="C51" s="798"/>
      <c r="D51" s="398"/>
      <c r="E51" s="404"/>
      <c r="F51" s="404"/>
      <c r="G51" s="398"/>
      <c r="H51" s="398"/>
      <c r="I51" s="398"/>
      <c r="J51" s="757"/>
      <c r="K51" s="757"/>
      <c r="L51" s="757"/>
      <c r="M51" s="801" t="e">
        <f t="shared" si="0"/>
        <v>#DIV/0!</v>
      </c>
      <c r="N51" s="65"/>
      <c r="O51" s="69"/>
      <c r="P51" s="357"/>
      <c r="Q51" s="57">
        <f t="shared" si="3"/>
        <v>0</v>
      </c>
      <c r="R51" s="57"/>
      <c r="S51" s="57"/>
      <c r="T51" s="70"/>
      <c r="U51" s="70"/>
      <c r="V51" s="70"/>
      <c r="W51" s="70"/>
    </row>
    <row r="52" spans="1:23" s="2" customFormat="1" ht="12.75" customHeight="1" hidden="1">
      <c r="A52" s="124"/>
      <c r="B52" s="530" t="s">
        <v>226</v>
      </c>
      <c r="C52" s="798"/>
      <c r="D52" s="398"/>
      <c r="E52" s="404"/>
      <c r="F52" s="404"/>
      <c r="G52" s="398"/>
      <c r="H52" s="398"/>
      <c r="I52" s="398"/>
      <c r="J52" s="757"/>
      <c r="K52" s="757"/>
      <c r="L52" s="757"/>
      <c r="M52" s="801" t="e">
        <f t="shared" si="0"/>
        <v>#DIV/0!</v>
      </c>
      <c r="N52" s="65"/>
      <c r="O52" s="69"/>
      <c r="P52" s="357"/>
      <c r="Q52" s="57">
        <f t="shared" si="3"/>
        <v>0</v>
      </c>
      <c r="R52" s="57"/>
      <c r="S52" s="57"/>
      <c r="T52" s="70"/>
      <c r="U52" s="70"/>
      <c r="V52" s="70"/>
      <c r="W52" s="70"/>
    </row>
    <row r="53" spans="1:23" s="2" customFormat="1" ht="12.75" customHeight="1" hidden="1">
      <c r="A53" s="124"/>
      <c r="B53" s="530" t="s">
        <v>184</v>
      </c>
      <c r="C53" s="798"/>
      <c r="D53" s="398">
        <v>57000</v>
      </c>
      <c r="E53" s="404"/>
      <c r="F53" s="404"/>
      <c r="G53" s="398"/>
      <c r="H53" s="398"/>
      <c r="I53" s="398"/>
      <c r="J53" s="757">
        <v>0</v>
      </c>
      <c r="K53" s="757">
        <v>0</v>
      </c>
      <c r="L53" s="757"/>
      <c r="M53" s="801" t="e">
        <f t="shared" si="0"/>
        <v>#DIV/0!</v>
      </c>
      <c r="N53" s="65"/>
      <c r="O53" s="69"/>
      <c r="P53" s="357"/>
      <c r="Q53" s="57"/>
      <c r="R53" s="57"/>
      <c r="S53" s="57"/>
      <c r="T53" s="70"/>
      <c r="U53" s="70"/>
      <c r="V53" s="70"/>
      <c r="W53" s="70"/>
    </row>
    <row r="54" spans="1:23" s="2" customFormat="1" ht="12.75" customHeight="1" hidden="1">
      <c r="A54" s="124"/>
      <c r="B54" s="530" t="s">
        <v>185</v>
      </c>
      <c r="C54" s="798"/>
      <c r="D54" s="398">
        <v>393700</v>
      </c>
      <c r="E54" s="404"/>
      <c r="F54" s="397">
        <v>130800</v>
      </c>
      <c r="G54" s="398"/>
      <c r="H54" s="398"/>
      <c r="I54" s="398"/>
      <c r="J54" s="757"/>
      <c r="K54" s="757"/>
      <c r="L54" s="757"/>
      <c r="M54" s="801" t="e">
        <f t="shared" si="0"/>
        <v>#DIV/0!</v>
      </c>
      <c r="N54" s="65"/>
      <c r="O54" s="69"/>
      <c r="P54" s="357"/>
      <c r="Q54" s="57"/>
      <c r="R54" s="57"/>
      <c r="S54" s="57"/>
      <c r="T54" s="70"/>
      <c r="U54" s="70"/>
      <c r="V54" s="70"/>
      <c r="W54" s="70"/>
    </row>
    <row r="55" spans="1:23" s="2" customFormat="1" ht="12.75" customHeight="1" hidden="1">
      <c r="A55" s="124"/>
      <c r="B55" s="530" t="s">
        <v>318</v>
      </c>
      <c r="C55" s="798">
        <v>30262</v>
      </c>
      <c r="D55" s="398"/>
      <c r="E55" s="404">
        <f>C55</f>
        <v>30262</v>
      </c>
      <c r="F55" s="404">
        <v>13469</v>
      </c>
      <c r="G55" s="398">
        <v>37644</v>
      </c>
      <c r="H55" s="398"/>
      <c r="I55" s="398"/>
      <c r="J55" s="757"/>
      <c r="K55" s="757"/>
      <c r="L55" s="757"/>
      <c r="M55" s="801" t="e">
        <f t="shared" si="0"/>
        <v>#DIV/0!</v>
      </c>
      <c r="N55" s="65"/>
      <c r="O55" s="69"/>
      <c r="P55" s="357"/>
      <c r="Q55" s="57"/>
      <c r="R55" s="57"/>
      <c r="S55" s="57"/>
      <c r="T55" s="70"/>
      <c r="U55" s="70"/>
      <c r="V55" s="70"/>
      <c r="W55" s="70"/>
    </row>
    <row r="56" spans="1:23" s="2" customFormat="1" ht="12.75" customHeight="1" hidden="1">
      <c r="A56" s="124"/>
      <c r="B56" s="530" t="s">
        <v>189</v>
      </c>
      <c r="C56" s="799">
        <v>162594</v>
      </c>
      <c r="D56" s="398"/>
      <c r="E56" s="404">
        <f>C56</f>
        <v>162594</v>
      </c>
      <c r="F56" s="404">
        <v>158546</v>
      </c>
      <c r="G56" s="398">
        <v>677600</v>
      </c>
      <c r="H56" s="398"/>
      <c r="I56" s="398"/>
      <c r="J56" s="757"/>
      <c r="K56" s="757"/>
      <c r="L56" s="757"/>
      <c r="M56" s="801" t="e">
        <f t="shared" si="0"/>
        <v>#DIV/0!</v>
      </c>
      <c r="N56" s="65"/>
      <c r="O56" s="69"/>
      <c r="P56" s="357"/>
      <c r="Q56" s="57"/>
      <c r="R56" s="57"/>
      <c r="S56" s="57"/>
      <c r="T56" s="70"/>
      <c r="U56" s="70"/>
      <c r="V56" s="70"/>
      <c r="W56" s="70"/>
    </row>
    <row r="57" spans="1:23" s="2" customFormat="1" ht="12.75" customHeight="1">
      <c r="A57" s="124"/>
      <c r="B57" s="837" t="s">
        <v>362</v>
      </c>
      <c r="C57" s="838"/>
      <c r="D57" s="839"/>
      <c r="E57" s="840"/>
      <c r="F57" s="840"/>
      <c r="G57" s="839"/>
      <c r="H57" s="839"/>
      <c r="I57" s="839"/>
      <c r="J57" s="841">
        <v>50000</v>
      </c>
      <c r="K57" s="841">
        <v>50000</v>
      </c>
      <c r="L57" s="835">
        <v>50000</v>
      </c>
      <c r="M57" s="836">
        <f t="shared" si="0"/>
        <v>1</v>
      </c>
      <c r="N57" s="65"/>
      <c r="O57" s="69"/>
      <c r="P57" s="688"/>
      <c r="Q57" s="57">
        <f>J57</f>
        <v>50000</v>
      </c>
      <c r="R57" s="57"/>
      <c r="S57" s="57"/>
      <c r="T57" s="70"/>
      <c r="U57" s="70"/>
      <c r="V57" s="70"/>
      <c r="W57" s="70"/>
    </row>
    <row r="58" spans="1:23" s="2" customFormat="1" ht="12.75" customHeight="1">
      <c r="A58" s="124"/>
      <c r="B58" s="837" t="s">
        <v>363</v>
      </c>
      <c r="C58" s="838"/>
      <c r="D58" s="839"/>
      <c r="E58" s="840"/>
      <c r="F58" s="840"/>
      <c r="G58" s="839"/>
      <c r="H58" s="839"/>
      <c r="I58" s="839"/>
      <c r="J58" s="841">
        <v>50000</v>
      </c>
      <c r="K58" s="841">
        <v>50000</v>
      </c>
      <c r="L58" s="835">
        <v>0</v>
      </c>
      <c r="M58" s="836">
        <f t="shared" si="0"/>
        <v>0</v>
      </c>
      <c r="N58" s="65"/>
      <c r="O58" s="69"/>
      <c r="P58" s="688"/>
      <c r="Q58" s="57">
        <f>J58</f>
        <v>50000</v>
      </c>
      <c r="R58" s="57"/>
      <c r="S58" s="57"/>
      <c r="T58" s="70"/>
      <c r="U58" s="70"/>
      <c r="V58" s="70"/>
      <c r="W58" s="70"/>
    </row>
    <row r="59" spans="1:23" s="2" customFormat="1" ht="12.75" customHeight="1">
      <c r="A59" s="124"/>
      <c r="B59" s="748" t="s">
        <v>434</v>
      </c>
      <c r="C59" s="690"/>
      <c r="D59" s="692"/>
      <c r="E59" s="693"/>
      <c r="F59" s="693"/>
      <c r="G59" s="692"/>
      <c r="H59" s="692"/>
      <c r="I59" s="692"/>
      <c r="J59" s="760"/>
      <c r="K59" s="796">
        <v>180000</v>
      </c>
      <c r="L59" s="757">
        <f>229738-L60</f>
        <v>180538</v>
      </c>
      <c r="M59" s="801">
        <f t="shared" si="0"/>
        <v>1.002988888888889</v>
      </c>
      <c r="N59" s="65"/>
      <c r="O59" s="69"/>
      <c r="P59" s="688"/>
      <c r="Q59" s="57"/>
      <c r="R59" s="57"/>
      <c r="S59" s="57"/>
      <c r="T59" s="70"/>
      <c r="U59" s="70"/>
      <c r="V59" s="70"/>
      <c r="W59" s="70"/>
    </row>
    <row r="60" spans="1:23" s="2" customFormat="1" ht="12.75" customHeight="1">
      <c r="A60" s="124"/>
      <c r="B60" s="748" t="s">
        <v>435</v>
      </c>
      <c r="C60" s="690"/>
      <c r="D60" s="692"/>
      <c r="E60" s="693"/>
      <c r="F60" s="693"/>
      <c r="G60" s="692"/>
      <c r="H60" s="692"/>
      <c r="I60" s="692"/>
      <c r="J60" s="760"/>
      <c r="K60" s="796">
        <v>50000</v>
      </c>
      <c r="L60" s="773">
        <v>49200</v>
      </c>
      <c r="M60" s="801">
        <f t="shared" si="0"/>
        <v>0.984</v>
      </c>
      <c r="N60" s="65"/>
      <c r="O60" s="69"/>
      <c r="P60" s="688"/>
      <c r="Q60" s="57"/>
      <c r="R60" s="57"/>
      <c r="S60" s="57"/>
      <c r="T60" s="70"/>
      <c r="U60" s="70"/>
      <c r="V60" s="70"/>
      <c r="W60" s="70"/>
    </row>
    <row r="61" spans="1:23" s="2" customFormat="1" ht="12.75" customHeight="1">
      <c r="A61" s="124"/>
      <c r="B61" s="748" t="s">
        <v>438</v>
      </c>
      <c r="C61" s="690"/>
      <c r="D61" s="692"/>
      <c r="E61" s="693"/>
      <c r="F61" s="693"/>
      <c r="G61" s="692"/>
      <c r="H61" s="692"/>
      <c r="I61" s="692"/>
      <c r="J61" s="760"/>
      <c r="K61" s="796"/>
      <c r="L61" s="773">
        <v>99500</v>
      </c>
      <c r="M61" s="801"/>
      <c r="N61" s="65"/>
      <c r="O61" s="69"/>
      <c r="P61" s="688"/>
      <c r="Q61" s="57"/>
      <c r="R61" s="57"/>
      <c r="S61" s="57"/>
      <c r="T61" s="70"/>
      <c r="U61" s="70"/>
      <c r="V61" s="70"/>
      <c r="W61" s="70"/>
    </row>
    <row r="62" spans="1:23" s="2" customFormat="1" ht="12.75" customHeight="1" thickBot="1">
      <c r="A62" s="124"/>
      <c r="B62" s="536" t="s">
        <v>157</v>
      </c>
      <c r="C62" s="432">
        <v>727935</v>
      </c>
      <c r="D62" s="408">
        <v>710944</v>
      </c>
      <c r="E62" s="407">
        <f>C62</f>
        <v>727935</v>
      </c>
      <c r="F62" s="407">
        <v>680479</v>
      </c>
      <c r="G62" s="408">
        <v>749468</v>
      </c>
      <c r="H62" s="408">
        <v>293555</v>
      </c>
      <c r="I62" s="408">
        <v>342069</v>
      </c>
      <c r="J62" s="761">
        <f>830651-J132-46000</f>
        <v>759885</v>
      </c>
      <c r="K62" s="761">
        <v>759885</v>
      </c>
      <c r="L62" s="761">
        <v>318031</v>
      </c>
      <c r="M62" s="801">
        <f t="shared" si="0"/>
        <v>0.4185251715720142</v>
      </c>
      <c r="N62" s="81"/>
      <c r="O62" s="69"/>
      <c r="P62" s="359"/>
      <c r="Q62" s="57"/>
      <c r="R62" s="57"/>
      <c r="S62" s="57"/>
      <c r="T62" s="70"/>
      <c r="U62" s="70"/>
      <c r="V62" s="70"/>
      <c r="W62" s="70"/>
    </row>
    <row r="63" spans="1:19" s="11" customFormat="1" ht="14.25" thickBot="1">
      <c r="A63" s="124"/>
      <c r="B63" s="434" t="s">
        <v>2</v>
      </c>
      <c r="C63" s="433">
        <f aca="true" t="shared" si="4" ref="C63:J63">SUM(C7:C62)</f>
        <v>12493975</v>
      </c>
      <c r="D63" s="360">
        <f t="shared" si="4"/>
        <v>12469547</v>
      </c>
      <c r="E63" s="44">
        <f t="shared" si="4"/>
        <v>12888766</v>
      </c>
      <c r="F63" s="44">
        <f t="shared" si="4"/>
        <v>12963019</v>
      </c>
      <c r="G63" s="360">
        <f t="shared" si="4"/>
        <v>13719257</v>
      </c>
      <c r="H63" s="360">
        <f t="shared" si="4"/>
        <v>5235784</v>
      </c>
      <c r="I63" s="360">
        <f t="shared" si="4"/>
        <v>6245701</v>
      </c>
      <c r="J63" s="762">
        <f t="shared" si="4"/>
        <v>14081624</v>
      </c>
      <c r="K63" s="762">
        <f>SUM(K7:K62)</f>
        <v>15211624</v>
      </c>
      <c r="L63" s="762">
        <f>SUM(L7:L62)</f>
        <v>5889774</v>
      </c>
      <c r="M63" s="762"/>
      <c r="N63" s="82"/>
      <c r="O63" s="83"/>
      <c r="P63" s="124"/>
      <c r="Q63" s="695">
        <f>SUM(Q12:Q62)</f>
        <v>2978500</v>
      </c>
      <c r="R63" s="7"/>
      <c r="S63" s="695">
        <f>SUM(S12:S62)</f>
        <v>471500</v>
      </c>
    </row>
    <row r="64" spans="1:22" ht="15.75" thickBot="1">
      <c r="A64" s="347"/>
      <c r="B64" s="361"/>
      <c r="C64" s="13"/>
      <c r="D64" s="362"/>
      <c r="E64" s="22"/>
      <c r="F64" s="22"/>
      <c r="G64" s="362"/>
      <c r="H64" s="362"/>
      <c r="I64" s="362"/>
      <c r="J64" s="619"/>
      <c r="K64" s="763"/>
      <c r="L64" s="764"/>
      <c r="M64" s="765"/>
      <c r="N64" s="65"/>
      <c r="O64" s="33"/>
      <c r="Q64" s="7"/>
      <c r="R64" s="7"/>
      <c r="S64" s="7"/>
      <c r="T64" s="10"/>
      <c r="U64" s="10"/>
      <c r="V64" s="10"/>
    </row>
    <row r="65" spans="2:22" ht="15.75" thickBot="1">
      <c r="B65" s="363" t="s">
        <v>3</v>
      </c>
      <c r="C65" s="14"/>
      <c r="D65" s="362"/>
      <c r="E65" s="22"/>
      <c r="F65" s="22"/>
      <c r="G65" s="362"/>
      <c r="H65" s="362"/>
      <c r="I65" s="362"/>
      <c r="J65" s="619"/>
      <c r="K65" s="13"/>
      <c r="L65" s="764"/>
      <c r="M65" s="765"/>
      <c r="N65" s="65"/>
      <c r="O65" s="33"/>
      <c r="Q65" s="7"/>
      <c r="R65" s="7"/>
      <c r="S65" s="7"/>
      <c r="T65" s="10"/>
      <c r="U65" s="5"/>
      <c r="V65" s="10"/>
    </row>
    <row r="66" spans="1:22" s="2" customFormat="1" ht="12.75" customHeight="1">
      <c r="A66" s="124"/>
      <c r="B66" s="525" t="s">
        <v>11</v>
      </c>
      <c r="C66" s="444">
        <v>2500000</v>
      </c>
      <c r="D66" s="437">
        <v>2882256</v>
      </c>
      <c r="E66" s="436">
        <f>C66</f>
        <v>2500000</v>
      </c>
      <c r="F66" s="436">
        <v>2548002</v>
      </c>
      <c r="G66" s="437">
        <v>2680000</v>
      </c>
      <c r="H66" s="437">
        <v>1524300</v>
      </c>
      <c r="I66" s="437">
        <v>1695100</v>
      </c>
      <c r="J66" s="766">
        <v>2948000</v>
      </c>
      <c r="K66" s="766">
        <v>2948000</v>
      </c>
      <c r="L66" s="766">
        <v>1567230</v>
      </c>
      <c r="M66" s="806">
        <f>L66/K66</f>
        <v>0.5316248303934871</v>
      </c>
      <c r="N66" s="65"/>
      <c r="O66" s="69"/>
      <c r="P66" s="356"/>
      <c r="Q66" s="57"/>
      <c r="R66" s="16"/>
      <c r="S66" s="57"/>
      <c r="T66" s="69"/>
      <c r="U66" s="69"/>
      <c r="V66" s="69"/>
    </row>
    <row r="67" spans="1:22" s="2" customFormat="1" ht="12.75" customHeight="1" hidden="1">
      <c r="A67" s="124"/>
      <c r="B67" s="526" t="s">
        <v>227</v>
      </c>
      <c r="C67" s="426"/>
      <c r="D67" s="411"/>
      <c r="E67" s="496"/>
      <c r="F67" s="496"/>
      <c r="G67" s="411"/>
      <c r="H67" s="411"/>
      <c r="I67" s="411"/>
      <c r="J67" s="754"/>
      <c r="K67" s="754"/>
      <c r="L67" s="754"/>
      <c r="M67" s="754"/>
      <c r="N67" s="65"/>
      <c r="O67" s="69"/>
      <c r="P67" s="414"/>
      <c r="Q67" s="57"/>
      <c r="R67" s="16"/>
      <c r="S67" s="57"/>
      <c r="T67" s="69"/>
      <c r="U67" s="69"/>
      <c r="V67" s="69"/>
    </row>
    <row r="68" spans="1:22" s="2" customFormat="1" ht="12.75" customHeight="1" hidden="1">
      <c r="A68" s="124"/>
      <c r="B68" s="527" t="s">
        <v>190</v>
      </c>
      <c r="C68" s="427">
        <v>162594</v>
      </c>
      <c r="D68" s="398"/>
      <c r="E68" s="439">
        <f>C68</f>
        <v>162594</v>
      </c>
      <c r="F68" s="439">
        <v>158546</v>
      </c>
      <c r="G68" s="398">
        <v>677600</v>
      </c>
      <c r="H68" s="398"/>
      <c r="I68" s="406"/>
      <c r="J68" s="757">
        <v>0</v>
      </c>
      <c r="K68" s="757">
        <v>0</v>
      </c>
      <c r="L68" s="757"/>
      <c r="M68" s="757"/>
      <c r="N68" s="65"/>
      <c r="O68" s="69"/>
      <c r="P68" s="357"/>
      <c r="Q68" s="57"/>
      <c r="R68" s="16"/>
      <c r="S68" s="57"/>
      <c r="T68" s="69"/>
      <c r="U68" s="69"/>
      <c r="V68" s="69"/>
    </row>
    <row r="69" spans="1:22" s="2" customFormat="1" ht="12.75" customHeight="1" hidden="1">
      <c r="A69" s="124"/>
      <c r="B69" s="527" t="s">
        <v>192</v>
      </c>
      <c r="C69" s="430">
        <v>30262</v>
      </c>
      <c r="D69" s="398"/>
      <c r="E69" s="439">
        <f>C69</f>
        <v>30262</v>
      </c>
      <c r="F69" s="439">
        <v>0</v>
      </c>
      <c r="G69" s="398">
        <v>37644</v>
      </c>
      <c r="H69" s="398"/>
      <c r="I69" s="406"/>
      <c r="J69" s="757">
        <v>0</v>
      </c>
      <c r="K69" s="757">
        <v>0</v>
      </c>
      <c r="L69" s="757"/>
      <c r="M69" s="757"/>
      <c r="N69" s="65"/>
      <c r="O69" s="69"/>
      <c r="P69" s="357"/>
      <c r="Q69" s="57"/>
      <c r="R69" s="16"/>
      <c r="S69" s="57"/>
      <c r="T69" s="69"/>
      <c r="U69" s="69"/>
      <c r="V69" s="69"/>
    </row>
    <row r="70" spans="1:22" s="2" customFormat="1" ht="12.75" customHeight="1">
      <c r="A70" s="124"/>
      <c r="B70" s="527" t="s">
        <v>12</v>
      </c>
      <c r="C70" s="427">
        <v>20000</v>
      </c>
      <c r="D70" s="398">
        <v>2635</v>
      </c>
      <c r="E70" s="439">
        <f>C70</f>
        <v>20000</v>
      </c>
      <c r="F70" s="439">
        <v>18863</v>
      </c>
      <c r="G70" s="398">
        <v>21000</v>
      </c>
      <c r="H70" s="398">
        <v>16</v>
      </c>
      <c r="I70" s="398"/>
      <c r="J70" s="757">
        <v>23100</v>
      </c>
      <c r="K70" s="757">
        <v>23100</v>
      </c>
      <c r="L70" s="757">
        <v>54</v>
      </c>
      <c r="M70" s="801">
        <f>L70/K70</f>
        <v>0.0023376623376623377</v>
      </c>
      <c r="N70" s="65"/>
      <c r="O70" s="69"/>
      <c r="P70" s="357"/>
      <c r="Q70" s="57"/>
      <c r="R70" s="16" t="s">
        <v>263</v>
      </c>
      <c r="S70" s="57"/>
      <c r="T70" s="69"/>
      <c r="U70" s="69"/>
      <c r="V70" s="69"/>
    </row>
    <row r="71" spans="1:22" s="2" customFormat="1" ht="12.75" customHeight="1">
      <c r="A71" s="124"/>
      <c r="B71" s="541" t="s">
        <v>4</v>
      </c>
      <c r="C71" s="542">
        <v>7365189</v>
      </c>
      <c r="D71" s="543">
        <v>6381243</v>
      </c>
      <c r="E71" s="544">
        <v>7425365</v>
      </c>
      <c r="F71" s="544">
        <v>7425365</v>
      </c>
      <c r="G71" s="543">
        <v>7742513</v>
      </c>
      <c r="H71" s="543">
        <v>3185395</v>
      </c>
      <c r="I71" s="543">
        <v>3822474</v>
      </c>
      <c r="J71" s="767">
        <v>8750524</v>
      </c>
      <c r="K71" s="767">
        <f>8750524+650000</f>
        <v>9400524</v>
      </c>
      <c r="L71" s="767">
        <f>3850910-L110</f>
        <v>3840910</v>
      </c>
      <c r="M71" s="807">
        <f>L71/K71</f>
        <v>0.4085846703864593</v>
      </c>
      <c r="N71" s="65"/>
      <c r="O71" s="69"/>
      <c r="P71" s="357"/>
      <c r="Q71" s="57"/>
      <c r="R71" s="16"/>
      <c r="S71" s="57"/>
      <c r="T71" s="69"/>
      <c r="U71" s="69"/>
      <c r="V71" s="5"/>
    </row>
    <row r="72" spans="1:22" s="2" customFormat="1" ht="12.75" customHeight="1">
      <c r="A72" s="124"/>
      <c r="B72" s="580" t="s">
        <v>266</v>
      </c>
      <c r="C72" s="581">
        <v>950000</v>
      </c>
      <c r="D72" s="582">
        <v>950000</v>
      </c>
      <c r="E72" s="583">
        <f>C72</f>
        <v>950000</v>
      </c>
      <c r="F72" s="583">
        <v>950000</v>
      </c>
      <c r="G72" s="582">
        <v>950000</v>
      </c>
      <c r="H72" s="582">
        <v>0</v>
      </c>
      <c r="I72" s="582"/>
      <c r="J72" s="768">
        <f>950000+140000</f>
        <v>1090000</v>
      </c>
      <c r="K72" s="768">
        <f>950000+140000</f>
        <v>1090000</v>
      </c>
      <c r="L72" s="768">
        <v>90000</v>
      </c>
      <c r="M72" s="808">
        <f aca="true" t="shared" si="5" ref="M72:M114">L72/K72</f>
        <v>0.08256880733944955</v>
      </c>
      <c r="N72" s="65"/>
      <c r="O72" s="69"/>
      <c r="P72" s="357"/>
      <c r="Q72" s="57"/>
      <c r="R72" s="16">
        <f>J72</f>
        <v>1090000</v>
      </c>
      <c r="S72" s="57"/>
      <c r="T72" s="69"/>
      <c r="U72" s="69"/>
      <c r="V72" s="69"/>
    </row>
    <row r="73" spans="1:22" s="2" customFormat="1" ht="12.75" customHeight="1" hidden="1">
      <c r="A73" s="124"/>
      <c r="B73" s="579" t="s">
        <v>311</v>
      </c>
      <c r="C73" s="576"/>
      <c r="D73" s="620"/>
      <c r="E73" s="578">
        <v>130000</v>
      </c>
      <c r="F73" s="578">
        <v>130000</v>
      </c>
      <c r="G73" s="620"/>
      <c r="H73" s="620"/>
      <c r="I73" s="620"/>
      <c r="J73" s="769"/>
      <c r="K73" s="769"/>
      <c r="L73" s="769"/>
      <c r="M73" s="808" t="e">
        <f t="shared" si="5"/>
        <v>#DIV/0!</v>
      </c>
      <c r="N73" s="65"/>
      <c r="O73" s="69"/>
      <c r="P73" s="357"/>
      <c r="Q73" s="57"/>
      <c r="S73" s="57"/>
      <c r="T73" s="69"/>
      <c r="U73" s="69"/>
      <c r="V73" s="69"/>
    </row>
    <row r="74" spans="1:22" s="2" customFormat="1" ht="12.75" customHeight="1" hidden="1">
      <c r="A74" s="124"/>
      <c r="B74" s="579" t="s">
        <v>309</v>
      </c>
      <c r="C74" s="576"/>
      <c r="D74" s="620"/>
      <c r="E74" s="578">
        <v>30000</v>
      </c>
      <c r="F74" s="578">
        <v>30000</v>
      </c>
      <c r="G74" s="620">
        <v>50000</v>
      </c>
      <c r="H74" s="620">
        <v>50000</v>
      </c>
      <c r="I74" s="620"/>
      <c r="J74" s="769"/>
      <c r="K74" s="769"/>
      <c r="L74" s="769"/>
      <c r="M74" s="808" t="e">
        <f t="shared" si="5"/>
        <v>#DIV/0!</v>
      </c>
      <c r="N74" s="65"/>
      <c r="O74" s="69"/>
      <c r="P74" s="357"/>
      <c r="Q74" s="57"/>
      <c r="R74" s="16"/>
      <c r="S74" s="57"/>
      <c r="T74" s="69"/>
      <c r="U74" s="69"/>
      <c r="V74" s="69"/>
    </row>
    <row r="75" spans="1:22" s="2" customFormat="1" ht="12.75" customHeight="1" hidden="1">
      <c r="A75" s="124"/>
      <c r="B75" s="579" t="s">
        <v>360</v>
      </c>
      <c r="C75" s="576"/>
      <c r="D75" s="620"/>
      <c r="E75" s="578"/>
      <c r="F75" s="578"/>
      <c r="G75" s="620"/>
      <c r="H75" s="620"/>
      <c r="I75" s="620">
        <v>50000</v>
      </c>
      <c r="J75" s="769"/>
      <c r="K75" s="769"/>
      <c r="L75" s="769"/>
      <c r="M75" s="808" t="e">
        <f t="shared" si="5"/>
        <v>#DIV/0!</v>
      </c>
      <c r="N75" s="65"/>
      <c r="O75" s="69"/>
      <c r="P75" s="357"/>
      <c r="Q75" s="57"/>
      <c r="R75" s="16"/>
      <c r="S75" s="57"/>
      <c r="T75" s="69"/>
      <c r="U75" s="69"/>
      <c r="V75" s="69"/>
    </row>
    <row r="76" spans="1:22" s="2" customFormat="1" ht="12.75" customHeight="1">
      <c r="A76" s="124"/>
      <c r="B76" s="850" t="s">
        <v>423</v>
      </c>
      <c r="C76" s="576"/>
      <c r="D76" s="854"/>
      <c r="E76" s="855"/>
      <c r="F76" s="855"/>
      <c r="G76" s="854"/>
      <c r="H76" s="854"/>
      <c r="I76" s="854"/>
      <c r="J76" s="856"/>
      <c r="K76" s="856">
        <v>200000</v>
      </c>
      <c r="L76" s="769"/>
      <c r="M76" s="862"/>
      <c r="N76" s="65"/>
      <c r="O76" s="69"/>
      <c r="P76" s="357"/>
      <c r="Q76" s="57"/>
      <c r="R76" s="16"/>
      <c r="S76" s="57"/>
      <c r="T76" s="69"/>
      <c r="U76" s="69"/>
      <c r="V76" s="69"/>
    </row>
    <row r="77" spans="1:22" s="2" customFormat="1" ht="12.75" customHeight="1">
      <c r="A77" s="124"/>
      <c r="B77" s="850" t="s">
        <v>425</v>
      </c>
      <c r="C77" s="429"/>
      <c r="D77" s="851"/>
      <c r="E77" s="852"/>
      <c r="F77" s="852"/>
      <c r="G77" s="851"/>
      <c r="H77" s="851"/>
      <c r="I77" s="851"/>
      <c r="J77" s="853"/>
      <c r="K77" s="853">
        <v>50000</v>
      </c>
      <c r="L77" s="769"/>
      <c r="M77" s="862"/>
      <c r="N77" s="65"/>
      <c r="O77" s="69"/>
      <c r="P77" s="357"/>
      <c r="Q77" s="57"/>
      <c r="R77" s="16"/>
      <c r="S77" s="57"/>
      <c r="T77" s="69"/>
      <c r="U77" s="69"/>
      <c r="V77" s="69"/>
    </row>
    <row r="78" spans="1:22" s="2" customFormat="1" ht="12.75" customHeight="1">
      <c r="A78" s="124"/>
      <c r="B78" s="584" t="s">
        <v>324</v>
      </c>
      <c r="C78" s="581"/>
      <c r="D78" s="582"/>
      <c r="E78" s="583"/>
      <c r="F78" s="583"/>
      <c r="G78" s="582">
        <v>50000</v>
      </c>
      <c r="H78" s="582"/>
      <c r="I78" s="582">
        <v>9000</v>
      </c>
      <c r="J78" s="768">
        <v>50000</v>
      </c>
      <c r="K78" s="768">
        <v>50000</v>
      </c>
      <c r="L78" s="768">
        <v>0</v>
      </c>
      <c r="M78" s="808">
        <f t="shared" si="5"/>
        <v>0</v>
      </c>
      <c r="N78" s="65"/>
      <c r="O78" s="69"/>
      <c r="P78" s="357"/>
      <c r="Q78" s="57"/>
      <c r="R78" s="16">
        <f>J78</f>
        <v>50000</v>
      </c>
      <c r="S78" s="57"/>
      <c r="T78" s="69"/>
      <c r="U78" s="69"/>
      <c r="V78" s="69"/>
    </row>
    <row r="79" spans="1:22" s="2" customFormat="1" ht="12.75" customHeight="1" hidden="1">
      <c r="A79" s="124"/>
      <c r="B79" s="585" t="s">
        <v>267</v>
      </c>
      <c r="C79" s="586">
        <v>402930</v>
      </c>
      <c r="D79" s="565">
        <v>340000</v>
      </c>
      <c r="E79" s="566">
        <v>510154</v>
      </c>
      <c r="F79" s="566">
        <v>510154</v>
      </c>
      <c r="G79" s="399"/>
      <c r="H79" s="399"/>
      <c r="I79" s="622"/>
      <c r="J79" s="770">
        <v>0</v>
      </c>
      <c r="K79" s="770">
        <v>0</v>
      </c>
      <c r="L79" s="770"/>
      <c r="M79" s="808" t="e">
        <f t="shared" si="5"/>
        <v>#DIV/0!</v>
      </c>
      <c r="N79" s="65"/>
      <c r="O79" s="69"/>
      <c r="P79" s="357"/>
      <c r="Q79" s="57"/>
      <c r="R79" s="16"/>
      <c r="S79" s="57"/>
      <c r="T79" s="69"/>
      <c r="U79" s="69"/>
      <c r="V79" s="69"/>
    </row>
    <row r="80" spans="1:22" s="2" customFormat="1" ht="12.75" customHeight="1" hidden="1">
      <c r="A80" s="124"/>
      <c r="B80" s="585" t="s">
        <v>296</v>
      </c>
      <c r="C80" s="586"/>
      <c r="D80" s="565">
        <v>55000</v>
      </c>
      <c r="E80" s="439"/>
      <c r="F80" s="439"/>
      <c r="G80" s="399"/>
      <c r="H80" s="399"/>
      <c r="I80" s="399"/>
      <c r="J80" s="770"/>
      <c r="K80" s="770"/>
      <c r="L80" s="770"/>
      <c r="M80" s="808" t="e">
        <f t="shared" si="5"/>
        <v>#DIV/0!</v>
      </c>
      <c r="N80" s="65"/>
      <c r="O80" s="69"/>
      <c r="P80" s="357"/>
      <c r="Q80" s="57"/>
      <c r="R80" s="16"/>
      <c r="S80" s="57"/>
      <c r="T80" s="69"/>
      <c r="U80" s="69"/>
      <c r="V80" s="69"/>
    </row>
    <row r="81" spans="1:19" s="2" customFormat="1" ht="12.75" customHeight="1">
      <c r="A81" s="124"/>
      <c r="B81" s="588" t="s">
        <v>325</v>
      </c>
      <c r="C81" s="567">
        <v>30000</v>
      </c>
      <c r="D81" s="565">
        <v>42000</v>
      </c>
      <c r="E81" s="566">
        <f>C81</f>
        <v>30000</v>
      </c>
      <c r="F81" s="566">
        <v>30000</v>
      </c>
      <c r="G81" s="565">
        <v>30000</v>
      </c>
      <c r="H81" s="565"/>
      <c r="I81" s="565"/>
      <c r="J81" s="771">
        <v>30000</v>
      </c>
      <c r="K81" s="771">
        <v>30000</v>
      </c>
      <c r="L81" s="771">
        <v>0</v>
      </c>
      <c r="M81" s="808">
        <f t="shared" si="5"/>
        <v>0</v>
      </c>
      <c r="N81" s="65"/>
      <c r="O81" s="69"/>
      <c r="P81" s="357"/>
      <c r="Q81" s="57"/>
      <c r="R81" s="16">
        <f aca="true" t="shared" si="6" ref="R81:R112">J81</f>
        <v>30000</v>
      </c>
      <c r="S81" s="57"/>
    </row>
    <row r="82" spans="1:19" s="2" customFormat="1" ht="12.75" customHeight="1" hidden="1">
      <c r="A82" s="124"/>
      <c r="B82" s="588" t="s">
        <v>295</v>
      </c>
      <c r="C82" s="567"/>
      <c r="D82" s="565">
        <v>30000</v>
      </c>
      <c r="E82" s="439"/>
      <c r="F82" s="439"/>
      <c r="G82" s="399"/>
      <c r="H82" s="399"/>
      <c r="I82" s="399"/>
      <c r="J82" s="770"/>
      <c r="K82" s="770"/>
      <c r="L82" s="770"/>
      <c r="M82" s="808" t="e">
        <f t="shared" si="5"/>
        <v>#DIV/0!</v>
      </c>
      <c r="N82" s="65"/>
      <c r="O82" s="69"/>
      <c r="P82" s="357"/>
      <c r="Q82" s="57"/>
      <c r="R82" s="16"/>
      <c r="S82" s="57"/>
    </row>
    <row r="83" spans="1:19" s="2" customFormat="1" ht="12.75" customHeight="1">
      <c r="A83" s="124"/>
      <c r="B83" s="589" t="s">
        <v>351</v>
      </c>
      <c r="C83" s="586">
        <v>40000</v>
      </c>
      <c r="D83" s="565">
        <v>40000</v>
      </c>
      <c r="E83" s="566">
        <f>C83</f>
        <v>40000</v>
      </c>
      <c r="F83" s="566">
        <v>40000</v>
      </c>
      <c r="G83" s="565">
        <v>60000</v>
      </c>
      <c r="H83" s="565"/>
      <c r="I83" s="565">
        <v>12000</v>
      </c>
      <c r="J83" s="771">
        <f>60000-30000</f>
        <v>30000</v>
      </c>
      <c r="K83" s="771">
        <f>60000-30000</f>
        <v>30000</v>
      </c>
      <c r="L83" s="771">
        <v>0</v>
      </c>
      <c r="M83" s="808">
        <f t="shared" si="5"/>
        <v>0</v>
      </c>
      <c r="N83" s="65"/>
      <c r="O83" s="69"/>
      <c r="P83" s="357"/>
      <c r="Q83" s="57"/>
      <c r="R83" s="16">
        <f t="shared" si="6"/>
        <v>30000</v>
      </c>
      <c r="S83" s="57"/>
    </row>
    <row r="84" spans="1:19" s="2" customFormat="1" ht="12.75" customHeight="1">
      <c r="A84" s="124"/>
      <c r="B84" s="590" t="s">
        <v>265</v>
      </c>
      <c r="C84" s="586">
        <v>40000</v>
      </c>
      <c r="D84" s="565">
        <v>40000</v>
      </c>
      <c r="E84" s="566">
        <v>10155</v>
      </c>
      <c r="F84" s="566">
        <v>10155</v>
      </c>
      <c r="G84" s="565">
        <v>25000</v>
      </c>
      <c r="H84" s="565"/>
      <c r="I84" s="565"/>
      <c r="J84" s="771">
        <v>10000</v>
      </c>
      <c r="K84" s="771">
        <v>10000</v>
      </c>
      <c r="L84" s="771">
        <v>10000</v>
      </c>
      <c r="M84" s="808">
        <f t="shared" si="5"/>
        <v>1</v>
      </c>
      <c r="N84" s="65"/>
      <c r="O84" s="69"/>
      <c r="P84" s="357"/>
      <c r="Q84" s="57"/>
      <c r="R84" s="16">
        <f t="shared" si="6"/>
        <v>10000</v>
      </c>
      <c r="S84" s="57"/>
    </row>
    <row r="85" spans="1:19" s="2" customFormat="1" ht="12.75" customHeight="1">
      <c r="A85" s="124"/>
      <c r="B85" s="590" t="s">
        <v>270</v>
      </c>
      <c r="C85" s="586">
        <v>120000</v>
      </c>
      <c r="D85" s="565">
        <v>135000</v>
      </c>
      <c r="E85" s="566">
        <v>114932</v>
      </c>
      <c r="F85" s="566">
        <v>114932</v>
      </c>
      <c r="G85" s="565">
        <v>130000</v>
      </c>
      <c r="H85" s="565"/>
      <c r="I85" s="565"/>
      <c r="J85" s="771">
        <v>130000</v>
      </c>
      <c r="K85" s="771">
        <v>130000</v>
      </c>
      <c r="L85" s="771">
        <v>0</v>
      </c>
      <c r="M85" s="808">
        <f t="shared" si="5"/>
        <v>0</v>
      </c>
      <c r="N85" s="65"/>
      <c r="O85" s="69"/>
      <c r="P85" s="357"/>
      <c r="Q85" s="57"/>
      <c r="R85" s="16">
        <f t="shared" si="6"/>
        <v>130000</v>
      </c>
      <c r="S85" s="57"/>
    </row>
    <row r="86" spans="1:19" s="2" customFormat="1" ht="12.75" customHeight="1">
      <c r="A86" s="124"/>
      <c r="B86" s="590" t="s">
        <v>271</v>
      </c>
      <c r="C86" s="586">
        <v>60000</v>
      </c>
      <c r="D86" s="565">
        <v>60000</v>
      </c>
      <c r="E86" s="566">
        <v>20796</v>
      </c>
      <c r="F86" s="566">
        <v>20796</v>
      </c>
      <c r="G86" s="565">
        <v>30000</v>
      </c>
      <c r="H86" s="565">
        <v>25000</v>
      </c>
      <c r="I86" s="565">
        <v>25000</v>
      </c>
      <c r="J86" s="771">
        <v>30000</v>
      </c>
      <c r="K86" s="771">
        <v>30000</v>
      </c>
      <c r="L86" s="771">
        <v>30000</v>
      </c>
      <c r="M86" s="808">
        <f t="shared" si="5"/>
        <v>1</v>
      </c>
      <c r="N86" s="65"/>
      <c r="O86" s="69"/>
      <c r="P86" s="357"/>
      <c r="Q86" s="57"/>
      <c r="R86" s="16">
        <f t="shared" si="6"/>
        <v>30000</v>
      </c>
      <c r="S86" s="57"/>
    </row>
    <row r="87" spans="1:19" s="2" customFormat="1" ht="12.75" customHeight="1" hidden="1">
      <c r="A87" s="124"/>
      <c r="B87" s="590" t="s">
        <v>297</v>
      </c>
      <c r="C87" s="586"/>
      <c r="D87" s="565">
        <v>20000</v>
      </c>
      <c r="E87" s="439"/>
      <c r="F87" s="439"/>
      <c r="G87" s="399"/>
      <c r="H87" s="399"/>
      <c r="I87" s="399"/>
      <c r="J87" s="770"/>
      <c r="K87" s="770"/>
      <c r="L87" s="770"/>
      <c r="M87" s="808" t="e">
        <f t="shared" si="5"/>
        <v>#DIV/0!</v>
      </c>
      <c r="N87" s="65"/>
      <c r="O87" s="69"/>
      <c r="P87" s="357"/>
      <c r="Q87" s="57"/>
      <c r="R87" s="16"/>
      <c r="S87" s="57"/>
    </row>
    <row r="88" spans="1:19" s="2" customFormat="1" ht="12.75" customHeight="1">
      <c r="A88" s="124"/>
      <c r="B88" s="590" t="s">
        <v>272</v>
      </c>
      <c r="C88" s="586">
        <v>15000</v>
      </c>
      <c r="D88" s="565">
        <v>15000</v>
      </c>
      <c r="E88" s="566">
        <v>14881</v>
      </c>
      <c r="F88" s="566">
        <v>14881</v>
      </c>
      <c r="G88" s="565">
        <v>15000</v>
      </c>
      <c r="H88" s="565"/>
      <c r="I88" s="565"/>
      <c r="J88" s="771">
        <v>15000</v>
      </c>
      <c r="K88" s="771">
        <v>15000</v>
      </c>
      <c r="L88" s="771">
        <v>0</v>
      </c>
      <c r="M88" s="808">
        <f t="shared" si="5"/>
        <v>0</v>
      </c>
      <c r="N88" s="65"/>
      <c r="O88" s="69"/>
      <c r="P88" s="357"/>
      <c r="Q88" s="57"/>
      <c r="R88" s="16">
        <f t="shared" si="6"/>
        <v>15000</v>
      </c>
      <c r="S88" s="57"/>
    </row>
    <row r="89" spans="1:19" s="2" customFormat="1" ht="12.75" customHeight="1" hidden="1">
      <c r="A89" s="124"/>
      <c r="B89" s="590" t="s">
        <v>273</v>
      </c>
      <c r="C89" s="586"/>
      <c r="D89" s="565">
        <v>45000</v>
      </c>
      <c r="E89" s="439"/>
      <c r="F89" s="439"/>
      <c r="G89" s="399"/>
      <c r="H89" s="399"/>
      <c r="I89" s="399"/>
      <c r="J89" s="770"/>
      <c r="K89" s="770"/>
      <c r="L89" s="770"/>
      <c r="M89" s="808" t="e">
        <f t="shared" si="5"/>
        <v>#DIV/0!</v>
      </c>
      <c r="N89" s="65"/>
      <c r="O89" s="69"/>
      <c r="P89" s="357"/>
      <c r="Q89" s="57"/>
      <c r="R89" s="16"/>
      <c r="S89" s="57"/>
    </row>
    <row r="90" spans="1:19" s="2" customFormat="1" ht="12.75" customHeight="1">
      <c r="A90" s="124"/>
      <c r="B90" s="590" t="s">
        <v>274</v>
      </c>
      <c r="C90" s="586">
        <v>50000</v>
      </c>
      <c r="D90" s="565">
        <v>20000</v>
      </c>
      <c r="E90" s="566">
        <v>7767</v>
      </c>
      <c r="F90" s="566">
        <v>7767</v>
      </c>
      <c r="G90" s="565">
        <v>20000</v>
      </c>
      <c r="H90" s="565"/>
      <c r="I90" s="565"/>
      <c r="J90" s="771">
        <v>20000</v>
      </c>
      <c r="K90" s="771">
        <v>20000</v>
      </c>
      <c r="L90" s="771">
        <v>0</v>
      </c>
      <c r="M90" s="808">
        <f t="shared" si="5"/>
        <v>0</v>
      </c>
      <c r="N90" s="65"/>
      <c r="O90" s="69"/>
      <c r="P90" s="357"/>
      <c r="Q90" s="57"/>
      <c r="R90" s="16">
        <f t="shared" si="6"/>
        <v>20000</v>
      </c>
      <c r="S90" s="57"/>
    </row>
    <row r="91" spans="1:19" s="2" customFormat="1" ht="12.75" customHeight="1">
      <c r="A91" s="124"/>
      <c r="B91" s="590" t="s">
        <v>275</v>
      </c>
      <c r="C91" s="581">
        <v>30000</v>
      </c>
      <c r="D91" s="582">
        <v>30000</v>
      </c>
      <c r="E91" s="583">
        <f>C91</f>
        <v>30000</v>
      </c>
      <c r="F91" s="583">
        <v>30000</v>
      </c>
      <c r="G91" s="582">
        <v>20000</v>
      </c>
      <c r="H91" s="582">
        <v>10000</v>
      </c>
      <c r="I91" s="565">
        <v>10000</v>
      </c>
      <c r="J91" s="771">
        <v>20000</v>
      </c>
      <c r="K91" s="771">
        <v>20000</v>
      </c>
      <c r="L91" s="771">
        <v>20000</v>
      </c>
      <c r="M91" s="808">
        <f t="shared" si="5"/>
        <v>1</v>
      </c>
      <c r="N91" s="65"/>
      <c r="O91" s="69"/>
      <c r="P91" s="357"/>
      <c r="Q91" s="57"/>
      <c r="R91" s="16">
        <f t="shared" si="6"/>
        <v>20000</v>
      </c>
      <c r="S91" s="57"/>
    </row>
    <row r="92" spans="1:19" s="2" customFormat="1" ht="12.75" customHeight="1">
      <c r="A92" s="124"/>
      <c r="B92" s="590" t="s">
        <v>276</v>
      </c>
      <c r="C92" s="581">
        <v>80000</v>
      </c>
      <c r="D92" s="582">
        <v>75000</v>
      </c>
      <c r="E92" s="583">
        <v>184524</v>
      </c>
      <c r="F92" s="583">
        <v>184524</v>
      </c>
      <c r="G92" s="582">
        <v>280000</v>
      </c>
      <c r="H92" s="582">
        <v>140000</v>
      </c>
      <c r="I92" s="565">
        <v>280000</v>
      </c>
      <c r="J92" s="771">
        <v>180000</v>
      </c>
      <c r="K92" s="771">
        <v>180000</v>
      </c>
      <c r="L92" s="771">
        <v>180000</v>
      </c>
      <c r="M92" s="808">
        <f t="shared" si="5"/>
        <v>1</v>
      </c>
      <c r="N92" s="65"/>
      <c r="O92" s="69"/>
      <c r="P92" s="357"/>
      <c r="Q92" s="57"/>
      <c r="R92" s="16">
        <f t="shared" si="6"/>
        <v>180000</v>
      </c>
      <c r="S92" s="57"/>
    </row>
    <row r="93" spans="1:19" s="2" customFormat="1" ht="12.75" customHeight="1" hidden="1">
      <c r="A93" s="124"/>
      <c r="B93" s="579" t="s">
        <v>178</v>
      </c>
      <c r="C93" s="576"/>
      <c r="D93" s="620"/>
      <c r="E93" s="578">
        <v>50000</v>
      </c>
      <c r="F93" s="578">
        <v>50000</v>
      </c>
      <c r="G93" s="620"/>
      <c r="H93" s="620"/>
      <c r="I93" s="399"/>
      <c r="J93" s="770"/>
      <c r="K93" s="770"/>
      <c r="L93" s="770"/>
      <c r="M93" s="808" t="e">
        <f t="shared" si="5"/>
        <v>#DIV/0!</v>
      </c>
      <c r="N93" s="65"/>
      <c r="O93" s="69"/>
      <c r="P93" s="357"/>
      <c r="Q93" s="57"/>
      <c r="R93" s="16"/>
      <c r="S93" s="57"/>
    </row>
    <row r="94" spans="1:19" s="2" customFormat="1" ht="12.75" customHeight="1">
      <c r="A94" s="124"/>
      <c r="B94" s="584" t="s">
        <v>277</v>
      </c>
      <c r="C94" s="581">
        <v>50000</v>
      </c>
      <c r="D94" s="582"/>
      <c r="E94" s="583">
        <f>C94</f>
        <v>50000</v>
      </c>
      <c r="F94" s="583">
        <v>50000</v>
      </c>
      <c r="G94" s="582">
        <v>40500</v>
      </c>
      <c r="H94" s="582">
        <v>50000</v>
      </c>
      <c r="I94" s="565">
        <v>50000</v>
      </c>
      <c r="J94" s="771">
        <v>50000</v>
      </c>
      <c r="K94" s="771">
        <v>50000</v>
      </c>
      <c r="L94" s="771">
        <v>50000</v>
      </c>
      <c r="M94" s="808">
        <f t="shared" si="5"/>
        <v>1</v>
      </c>
      <c r="N94" s="65"/>
      <c r="O94" s="69"/>
      <c r="P94" s="357"/>
      <c r="Q94" s="57"/>
      <c r="R94" s="16">
        <f t="shared" si="6"/>
        <v>50000</v>
      </c>
      <c r="S94" s="57"/>
    </row>
    <row r="95" spans="1:19" s="2" customFormat="1" ht="12.75" customHeight="1">
      <c r="A95" s="124"/>
      <c r="B95" s="584" t="s">
        <v>278</v>
      </c>
      <c r="C95" s="581"/>
      <c r="D95" s="582"/>
      <c r="E95" s="583"/>
      <c r="F95" s="583"/>
      <c r="G95" s="582">
        <v>0</v>
      </c>
      <c r="H95" s="582">
        <v>50000</v>
      </c>
      <c r="I95" s="565">
        <v>50000</v>
      </c>
      <c r="J95" s="771">
        <v>30000</v>
      </c>
      <c r="K95" s="771">
        <v>30000</v>
      </c>
      <c r="L95" s="771">
        <v>30000</v>
      </c>
      <c r="M95" s="808">
        <f t="shared" si="5"/>
        <v>1</v>
      </c>
      <c r="N95" s="65"/>
      <c r="O95" s="69"/>
      <c r="P95" s="357"/>
      <c r="Q95" s="57"/>
      <c r="R95" s="16">
        <f t="shared" si="6"/>
        <v>30000</v>
      </c>
      <c r="S95" s="57"/>
    </row>
    <row r="96" spans="1:19" s="2" customFormat="1" ht="12.75" customHeight="1" hidden="1">
      <c r="A96" s="124"/>
      <c r="B96" s="584" t="s">
        <v>279</v>
      </c>
      <c r="C96" s="581">
        <v>20000</v>
      </c>
      <c r="D96" s="582">
        <v>20000</v>
      </c>
      <c r="E96" s="583">
        <f>C96</f>
        <v>20000</v>
      </c>
      <c r="F96" s="583">
        <v>20000</v>
      </c>
      <c r="G96" s="620"/>
      <c r="H96" s="620"/>
      <c r="I96" s="399"/>
      <c r="J96" s="770"/>
      <c r="K96" s="770"/>
      <c r="L96" s="770"/>
      <c r="M96" s="808" t="e">
        <f t="shared" si="5"/>
        <v>#DIV/0!</v>
      </c>
      <c r="N96" s="65"/>
      <c r="O96" s="69"/>
      <c r="P96" s="357"/>
      <c r="Q96" s="57"/>
      <c r="R96" s="16"/>
      <c r="S96" s="57"/>
    </row>
    <row r="97" spans="1:19" s="2" customFormat="1" ht="12.75" customHeight="1">
      <c r="A97" s="124"/>
      <c r="B97" s="584" t="s">
        <v>280</v>
      </c>
      <c r="C97" s="581">
        <v>370000</v>
      </c>
      <c r="D97" s="582">
        <v>207999</v>
      </c>
      <c r="E97" s="583">
        <f>C97</f>
        <v>370000</v>
      </c>
      <c r="F97" s="583">
        <v>370000</v>
      </c>
      <c r="G97" s="582">
        <v>370000</v>
      </c>
      <c r="H97" s="582"/>
      <c r="I97" s="565"/>
      <c r="J97" s="771">
        <v>270000</v>
      </c>
      <c r="K97" s="771">
        <v>270000</v>
      </c>
      <c r="L97" s="771">
        <v>0</v>
      </c>
      <c r="M97" s="808">
        <f t="shared" si="5"/>
        <v>0</v>
      </c>
      <c r="N97" s="65"/>
      <c r="O97" s="69"/>
      <c r="P97" s="357"/>
      <c r="Q97" s="57"/>
      <c r="R97" s="16">
        <f t="shared" si="6"/>
        <v>270000</v>
      </c>
      <c r="S97" s="57"/>
    </row>
    <row r="98" spans="1:19" s="2" customFormat="1" ht="12.75" customHeight="1">
      <c r="A98" s="124"/>
      <c r="B98" s="584" t="s">
        <v>281</v>
      </c>
      <c r="C98" s="581">
        <v>20000</v>
      </c>
      <c r="D98" s="582">
        <v>8000</v>
      </c>
      <c r="E98" s="583">
        <v>0</v>
      </c>
      <c r="F98" s="583">
        <v>0</v>
      </c>
      <c r="G98" s="582">
        <v>20000</v>
      </c>
      <c r="H98" s="582"/>
      <c r="I98" s="565"/>
      <c r="J98" s="771">
        <v>20000</v>
      </c>
      <c r="K98" s="771">
        <v>20000</v>
      </c>
      <c r="L98" s="771">
        <v>0</v>
      </c>
      <c r="M98" s="808">
        <f t="shared" si="5"/>
        <v>0</v>
      </c>
      <c r="N98" s="65"/>
      <c r="O98" s="69"/>
      <c r="P98" s="357"/>
      <c r="Q98" s="57"/>
      <c r="R98" s="16">
        <f t="shared" si="6"/>
        <v>20000</v>
      </c>
      <c r="S98" s="57"/>
    </row>
    <row r="99" spans="1:19" s="2" customFormat="1" ht="12.75" customHeight="1">
      <c r="A99" s="124"/>
      <c r="B99" s="584" t="s">
        <v>282</v>
      </c>
      <c r="C99" s="581">
        <v>50000</v>
      </c>
      <c r="D99" s="582">
        <v>12001</v>
      </c>
      <c r="E99" s="583">
        <v>34336</v>
      </c>
      <c r="F99" s="583">
        <v>34336</v>
      </c>
      <c r="G99" s="582">
        <v>50000</v>
      </c>
      <c r="H99" s="582"/>
      <c r="I99" s="565"/>
      <c r="J99" s="771">
        <f>50000-5000</f>
        <v>45000</v>
      </c>
      <c r="K99" s="771">
        <f>50000-5000</f>
        <v>45000</v>
      </c>
      <c r="L99" s="771">
        <v>0</v>
      </c>
      <c r="M99" s="808">
        <f t="shared" si="5"/>
        <v>0</v>
      </c>
      <c r="N99" s="65"/>
      <c r="O99" s="69"/>
      <c r="P99" s="357"/>
      <c r="Q99" s="57"/>
      <c r="R99" s="16">
        <f t="shared" si="6"/>
        <v>45000</v>
      </c>
      <c r="S99" s="57"/>
    </row>
    <row r="100" spans="1:19" s="2" customFormat="1" ht="12.75" customHeight="1" hidden="1">
      <c r="A100" s="124"/>
      <c r="B100" s="579" t="s">
        <v>183</v>
      </c>
      <c r="C100" s="576"/>
      <c r="D100" s="620"/>
      <c r="E100" s="578">
        <v>10000</v>
      </c>
      <c r="F100" s="578">
        <v>10000</v>
      </c>
      <c r="G100" s="620"/>
      <c r="H100" s="620"/>
      <c r="I100" s="399"/>
      <c r="J100" s="770"/>
      <c r="K100" s="770"/>
      <c r="L100" s="770"/>
      <c r="M100" s="808" t="e">
        <f t="shared" si="5"/>
        <v>#DIV/0!</v>
      </c>
      <c r="N100" s="65"/>
      <c r="O100" s="69"/>
      <c r="P100" s="357"/>
      <c r="Q100" s="57"/>
      <c r="R100" s="16"/>
      <c r="S100" s="57"/>
    </row>
    <row r="101" spans="1:19" s="2" customFormat="1" ht="12.75" customHeight="1">
      <c r="A101" s="124"/>
      <c r="B101" s="584" t="s">
        <v>327</v>
      </c>
      <c r="C101" s="581">
        <v>20000</v>
      </c>
      <c r="D101" s="582">
        <v>20000</v>
      </c>
      <c r="E101" s="583">
        <f>C101</f>
        <v>20000</v>
      </c>
      <c r="F101" s="583">
        <v>20000</v>
      </c>
      <c r="G101" s="582">
        <v>20000</v>
      </c>
      <c r="H101" s="582">
        <v>20000</v>
      </c>
      <c r="I101" s="565">
        <v>20000</v>
      </c>
      <c r="J101" s="771">
        <v>10000</v>
      </c>
      <c r="K101" s="771">
        <v>10000</v>
      </c>
      <c r="L101" s="771">
        <v>0</v>
      </c>
      <c r="M101" s="808">
        <f t="shared" si="5"/>
        <v>0</v>
      </c>
      <c r="N101" s="65"/>
      <c r="O101" s="69"/>
      <c r="P101" s="357"/>
      <c r="Q101" s="57"/>
      <c r="R101" s="16">
        <f t="shared" si="6"/>
        <v>10000</v>
      </c>
      <c r="S101" s="57"/>
    </row>
    <row r="102" spans="1:19" s="2" customFormat="1" ht="12.75" customHeight="1">
      <c r="A102" s="124"/>
      <c r="B102" s="584" t="s">
        <v>321</v>
      </c>
      <c r="C102" s="581"/>
      <c r="D102" s="582"/>
      <c r="E102" s="583"/>
      <c r="F102" s="583"/>
      <c r="G102" s="582">
        <v>210000</v>
      </c>
      <c r="H102" s="582"/>
      <c r="I102" s="587">
        <v>210000</v>
      </c>
      <c r="J102" s="771">
        <v>100000</v>
      </c>
      <c r="K102" s="771">
        <v>100000</v>
      </c>
      <c r="L102" s="771">
        <v>0</v>
      </c>
      <c r="M102" s="808">
        <f t="shared" si="5"/>
        <v>0</v>
      </c>
      <c r="N102" s="65"/>
      <c r="O102" s="69"/>
      <c r="P102" s="357"/>
      <c r="Q102" s="57"/>
      <c r="R102" s="16">
        <f>J102</f>
        <v>100000</v>
      </c>
      <c r="S102" s="57"/>
    </row>
    <row r="103" spans="1:19" s="2" customFormat="1" ht="12.75" customHeight="1">
      <c r="A103" s="124"/>
      <c r="B103" s="584" t="s">
        <v>320</v>
      </c>
      <c r="C103" s="581"/>
      <c r="D103" s="582"/>
      <c r="E103" s="594">
        <v>40000</v>
      </c>
      <c r="F103" s="594">
        <v>40000</v>
      </c>
      <c r="G103" s="582">
        <v>50000</v>
      </c>
      <c r="H103" s="582"/>
      <c r="I103" s="587">
        <v>0</v>
      </c>
      <c r="J103" s="771">
        <v>50000</v>
      </c>
      <c r="K103" s="771">
        <v>50000</v>
      </c>
      <c r="L103" s="771">
        <v>0</v>
      </c>
      <c r="M103" s="808">
        <f t="shared" si="5"/>
        <v>0</v>
      </c>
      <c r="N103" s="65"/>
      <c r="O103" s="69"/>
      <c r="P103" s="357"/>
      <c r="Q103" s="57"/>
      <c r="R103" s="16">
        <f>J103</f>
        <v>50000</v>
      </c>
      <c r="S103" s="57"/>
    </row>
    <row r="104" spans="1:19" s="2" customFormat="1" ht="12.75" customHeight="1" hidden="1">
      <c r="A104" s="124"/>
      <c r="B104" s="579" t="s">
        <v>312</v>
      </c>
      <c r="C104" s="576"/>
      <c r="D104" s="620"/>
      <c r="E104" s="621">
        <v>15000</v>
      </c>
      <c r="F104" s="621">
        <v>15000</v>
      </c>
      <c r="G104" s="620"/>
      <c r="H104" s="620"/>
      <c r="I104" s="622"/>
      <c r="J104" s="770"/>
      <c r="K104" s="770"/>
      <c r="L104" s="770"/>
      <c r="M104" s="808" t="e">
        <f t="shared" si="5"/>
        <v>#DIV/0!</v>
      </c>
      <c r="N104" s="65"/>
      <c r="O104" s="69"/>
      <c r="P104" s="357"/>
      <c r="Q104" s="57"/>
      <c r="R104" s="16"/>
      <c r="S104" s="57"/>
    </row>
    <row r="105" spans="1:19" s="2" customFormat="1" ht="12.75" customHeight="1" hidden="1">
      <c r="A105" s="124"/>
      <c r="B105" s="584" t="s">
        <v>284</v>
      </c>
      <c r="C105" s="581"/>
      <c r="D105" s="582"/>
      <c r="E105" s="594"/>
      <c r="F105" s="594"/>
      <c r="G105" s="582"/>
      <c r="H105" s="582"/>
      <c r="I105" s="587"/>
      <c r="J105" s="771"/>
      <c r="K105" s="771"/>
      <c r="L105" s="771"/>
      <c r="M105" s="808" t="e">
        <f t="shared" si="5"/>
        <v>#DIV/0!</v>
      </c>
      <c r="N105" s="65"/>
      <c r="O105" s="69"/>
      <c r="P105" s="357"/>
      <c r="Q105" s="57"/>
      <c r="R105" s="16">
        <f t="shared" si="6"/>
        <v>0</v>
      </c>
      <c r="S105" s="57"/>
    </row>
    <row r="106" spans="1:19" s="2" customFormat="1" ht="12.75" customHeight="1" hidden="1">
      <c r="A106" s="124"/>
      <c r="B106" s="625" t="s">
        <v>256</v>
      </c>
      <c r="C106" s="624"/>
      <c r="D106" s="626"/>
      <c r="E106" s="627"/>
      <c r="F106" s="627"/>
      <c r="G106" s="626"/>
      <c r="H106" s="626"/>
      <c r="I106" s="626"/>
      <c r="J106" s="772">
        <v>0</v>
      </c>
      <c r="K106" s="772">
        <v>0</v>
      </c>
      <c r="L106" s="772"/>
      <c r="M106" s="808" t="e">
        <f t="shared" si="5"/>
        <v>#DIV/0!</v>
      </c>
      <c r="N106" s="65"/>
      <c r="O106" s="69"/>
      <c r="P106" s="357"/>
      <c r="Q106" s="57"/>
      <c r="R106" s="16">
        <f t="shared" si="6"/>
        <v>0</v>
      </c>
      <c r="S106" s="57"/>
    </row>
    <row r="107" spans="1:19" s="2" customFormat="1" ht="12.75" customHeight="1" hidden="1">
      <c r="A107" s="124"/>
      <c r="B107" s="584" t="s">
        <v>285</v>
      </c>
      <c r="C107" s="581"/>
      <c r="D107" s="582"/>
      <c r="E107" s="594"/>
      <c r="F107" s="594"/>
      <c r="G107" s="582">
        <v>90000</v>
      </c>
      <c r="H107" s="620"/>
      <c r="I107" s="622"/>
      <c r="J107" s="770"/>
      <c r="K107" s="770"/>
      <c r="L107" s="770"/>
      <c r="M107" s="808" t="e">
        <f t="shared" si="5"/>
        <v>#DIV/0!</v>
      </c>
      <c r="N107" s="65"/>
      <c r="O107" s="69"/>
      <c r="P107" s="357"/>
      <c r="Q107" s="57"/>
      <c r="R107" s="16">
        <f t="shared" si="6"/>
        <v>0</v>
      </c>
      <c r="S107" s="57"/>
    </row>
    <row r="108" spans="1:19" s="2" customFormat="1" ht="12.75" customHeight="1">
      <c r="A108" s="124"/>
      <c r="B108" s="584" t="s">
        <v>319</v>
      </c>
      <c r="C108" s="581"/>
      <c r="D108" s="582"/>
      <c r="E108" s="594"/>
      <c r="F108" s="594"/>
      <c r="G108" s="582">
        <v>50000</v>
      </c>
      <c r="H108" s="582">
        <v>10000</v>
      </c>
      <c r="I108" s="587">
        <v>22000</v>
      </c>
      <c r="J108" s="771">
        <v>50000</v>
      </c>
      <c r="K108" s="771">
        <v>50000</v>
      </c>
      <c r="L108" s="771">
        <v>0</v>
      </c>
      <c r="M108" s="808">
        <f t="shared" si="5"/>
        <v>0</v>
      </c>
      <c r="N108" s="65"/>
      <c r="O108" s="69"/>
      <c r="P108" s="357"/>
      <c r="Q108" s="57"/>
      <c r="R108" s="16">
        <f t="shared" si="6"/>
        <v>50000</v>
      </c>
      <c r="S108" s="57"/>
    </row>
    <row r="109" spans="1:19" s="2" customFormat="1" ht="12.75" customHeight="1">
      <c r="A109" s="124"/>
      <c r="B109" s="589" t="s">
        <v>326</v>
      </c>
      <c r="C109" s="824"/>
      <c r="D109" s="565"/>
      <c r="E109" s="825"/>
      <c r="F109" s="825"/>
      <c r="G109" s="565"/>
      <c r="H109" s="565"/>
      <c r="I109" s="565"/>
      <c r="J109" s="771">
        <v>20000</v>
      </c>
      <c r="K109" s="771">
        <v>20000</v>
      </c>
      <c r="L109" s="771">
        <v>20000</v>
      </c>
      <c r="M109" s="808">
        <f t="shared" si="5"/>
        <v>1</v>
      </c>
      <c r="N109" s="65"/>
      <c r="O109" s="69"/>
      <c r="P109" s="357"/>
      <c r="Q109" s="57"/>
      <c r="R109" s="16">
        <f t="shared" si="6"/>
        <v>20000</v>
      </c>
      <c r="S109" s="57"/>
    </row>
    <row r="110" spans="1:19" s="2" customFormat="1" ht="12.75" customHeight="1">
      <c r="A110" s="124"/>
      <c r="B110" s="589" t="s">
        <v>328</v>
      </c>
      <c r="C110" s="824"/>
      <c r="D110" s="565"/>
      <c r="E110" s="825"/>
      <c r="F110" s="825"/>
      <c r="G110" s="565"/>
      <c r="H110" s="565"/>
      <c r="I110" s="565"/>
      <c r="J110" s="771">
        <v>10000</v>
      </c>
      <c r="K110" s="771">
        <v>10000</v>
      </c>
      <c r="L110" s="771">
        <v>10000</v>
      </c>
      <c r="M110" s="808">
        <f t="shared" si="5"/>
        <v>1</v>
      </c>
      <c r="N110" s="65"/>
      <c r="O110" s="69"/>
      <c r="P110" s="357"/>
      <c r="Q110" s="57"/>
      <c r="R110" s="16">
        <f t="shared" si="6"/>
        <v>10000</v>
      </c>
      <c r="S110" s="57"/>
    </row>
    <row r="111" spans="1:19" s="2" customFormat="1" ht="12.75" customHeight="1">
      <c r="A111" s="124"/>
      <c r="B111" s="797" t="s">
        <v>365</v>
      </c>
      <c r="C111" s="824"/>
      <c r="D111" s="565"/>
      <c r="E111" s="825"/>
      <c r="F111" s="825"/>
      <c r="G111" s="565"/>
      <c r="H111" s="565"/>
      <c r="I111" s="565"/>
      <c r="J111" s="771">
        <v>50000</v>
      </c>
      <c r="K111" s="771">
        <v>50000</v>
      </c>
      <c r="L111" s="771">
        <v>50000</v>
      </c>
      <c r="M111" s="808">
        <f t="shared" si="5"/>
        <v>1</v>
      </c>
      <c r="N111" s="65"/>
      <c r="O111" s="69"/>
      <c r="P111" s="357"/>
      <c r="Q111" s="57"/>
      <c r="R111" s="16">
        <f t="shared" si="6"/>
        <v>50000</v>
      </c>
      <c r="S111" s="57"/>
    </row>
    <row r="112" spans="1:19" s="2" customFormat="1" ht="12.75" customHeight="1">
      <c r="A112" s="124"/>
      <c r="B112" s="797" t="s">
        <v>364</v>
      </c>
      <c r="C112" s="824"/>
      <c r="D112" s="565"/>
      <c r="E112" s="825"/>
      <c r="F112" s="825"/>
      <c r="G112" s="565"/>
      <c r="H112" s="565"/>
      <c r="I112" s="565"/>
      <c r="J112" s="771">
        <v>50000</v>
      </c>
      <c r="K112" s="771">
        <v>50000</v>
      </c>
      <c r="L112" s="771">
        <v>0</v>
      </c>
      <c r="M112" s="808">
        <f t="shared" si="5"/>
        <v>0</v>
      </c>
      <c r="N112" s="65"/>
      <c r="O112" s="69"/>
      <c r="P112" s="357"/>
      <c r="Q112" s="57"/>
      <c r="R112" s="16">
        <f t="shared" si="6"/>
        <v>50000</v>
      </c>
      <c r="S112" s="57"/>
    </row>
    <row r="113" spans="1:19" s="2" customFormat="1" ht="12.75" customHeight="1">
      <c r="A113" s="124"/>
      <c r="B113" s="867" t="s">
        <v>438</v>
      </c>
      <c r="C113" s="824"/>
      <c r="D113" s="565"/>
      <c r="E113" s="825"/>
      <c r="F113" s="825"/>
      <c r="G113" s="565"/>
      <c r="H113" s="565"/>
      <c r="I113" s="565"/>
      <c r="J113" s="771"/>
      <c r="K113" s="771"/>
      <c r="L113" s="771">
        <v>99500</v>
      </c>
      <c r="M113" s="808"/>
      <c r="N113" s="65"/>
      <c r="O113" s="69"/>
      <c r="P113" s="357"/>
      <c r="Q113" s="57"/>
      <c r="R113" s="16"/>
      <c r="S113" s="57"/>
    </row>
    <row r="114" spans="1:19" s="2" customFormat="1" ht="12.75" customHeight="1" thickBot="1">
      <c r="A114" s="124"/>
      <c r="B114" s="579" t="s">
        <v>437</v>
      </c>
      <c r="C114" s="576"/>
      <c r="D114" s="577">
        <f>130000+90000+30000+100000+57000+393700+15000</f>
        <v>815700</v>
      </c>
      <c r="E114" s="578"/>
      <c r="F114" s="578">
        <v>155382</v>
      </c>
      <c r="G114" s="577"/>
      <c r="H114" s="577"/>
      <c r="I114" s="406">
        <v>70420</v>
      </c>
      <c r="J114" s="757">
        <v>0</v>
      </c>
      <c r="K114" s="823">
        <v>230000</v>
      </c>
      <c r="L114" s="757">
        <f>229738</f>
        <v>229738</v>
      </c>
      <c r="M114" s="801">
        <f t="shared" si="5"/>
        <v>0.9988608695652174</v>
      </c>
      <c r="N114" s="65"/>
      <c r="O114" s="69"/>
      <c r="P114" s="357"/>
      <c r="Q114" s="57"/>
      <c r="R114" s="16"/>
      <c r="S114" s="57"/>
    </row>
    <row r="115" spans="1:19" s="2" customFormat="1" ht="12.75" customHeight="1" hidden="1">
      <c r="A115" s="124"/>
      <c r="B115" s="579"/>
      <c r="C115" s="576"/>
      <c r="D115" s="577"/>
      <c r="E115" s="578"/>
      <c r="F115" s="578"/>
      <c r="G115" s="577"/>
      <c r="H115" s="577"/>
      <c r="I115" s="398"/>
      <c r="J115" s="757"/>
      <c r="K115" s="757"/>
      <c r="L115" s="757"/>
      <c r="M115" s="757"/>
      <c r="N115" s="65"/>
      <c r="O115" s="69"/>
      <c r="P115" s="357"/>
      <c r="Q115" s="57"/>
      <c r="R115" s="16"/>
      <c r="S115" s="57"/>
    </row>
    <row r="116" spans="1:19" s="2" customFormat="1" ht="12.75" customHeight="1" hidden="1">
      <c r="A116" s="124"/>
      <c r="B116" s="579"/>
      <c r="C116" s="429"/>
      <c r="D116" s="406"/>
      <c r="E116" s="441"/>
      <c r="F116" s="441"/>
      <c r="G116" s="406"/>
      <c r="H116" s="406"/>
      <c r="I116" s="406"/>
      <c r="J116" s="757"/>
      <c r="K116" s="757"/>
      <c r="L116" s="757"/>
      <c r="M116" s="757"/>
      <c r="N116" s="65"/>
      <c r="O116" s="69"/>
      <c r="P116" s="357"/>
      <c r="Q116" s="57"/>
      <c r="R116" s="16"/>
      <c r="S116" s="57"/>
    </row>
    <row r="117" spans="1:19" s="2" customFormat="1" ht="12.75" customHeight="1" hidden="1">
      <c r="A117" s="124"/>
      <c r="B117" s="579"/>
      <c r="C117" s="429"/>
      <c r="D117" s="406"/>
      <c r="E117" s="441"/>
      <c r="F117" s="441"/>
      <c r="G117" s="406"/>
      <c r="H117" s="406"/>
      <c r="I117" s="406"/>
      <c r="J117" s="757"/>
      <c r="K117" s="757"/>
      <c r="L117" s="757"/>
      <c r="M117" s="757"/>
      <c r="N117" s="65"/>
      <c r="O117" s="69"/>
      <c r="P117" s="357"/>
      <c r="Q117" s="57"/>
      <c r="R117" s="16"/>
      <c r="S117" s="57"/>
    </row>
    <row r="118" spans="1:19" s="2" customFormat="1" ht="12.75" customHeight="1" hidden="1">
      <c r="A118" s="124"/>
      <c r="B118" s="579"/>
      <c r="C118" s="429"/>
      <c r="D118" s="406"/>
      <c r="E118" s="441"/>
      <c r="F118" s="441"/>
      <c r="G118" s="406"/>
      <c r="H118" s="406"/>
      <c r="I118" s="406"/>
      <c r="J118" s="757"/>
      <c r="K118" s="757"/>
      <c r="L118" s="757"/>
      <c r="M118" s="757"/>
      <c r="N118" s="65"/>
      <c r="O118" s="69"/>
      <c r="P118" s="357"/>
      <c r="Q118" s="57"/>
      <c r="R118" s="16"/>
      <c r="S118" s="57"/>
    </row>
    <row r="119" spans="1:19" s="108" customFormat="1" ht="12.75" customHeight="1" hidden="1">
      <c r="A119" s="284"/>
      <c r="B119" s="678" t="s">
        <v>53</v>
      </c>
      <c r="C119" s="679">
        <v>68000</v>
      </c>
      <c r="D119" s="680">
        <v>68067</v>
      </c>
      <c r="E119" s="681">
        <v>68000</v>
      </c>
      <c r="F119" s="681"/>
      <c r="G119" s="680"/>
      <c r="H119" s="680"/>
      <c r="I119" s="680"/>
      <c r="J119" s="773"/>
      <c r="K119" s="773"/>
      <c r="L119" s="773"/>
      <c r="M119" s="773"/>
      <c r="N119" s="81"/>
      <c r="O119" s="70"/>
      <c r="P119" s="394"/>
      <c r="Q119" s="57"/>
      <c r="R119" s="16"/>
      <c r="S119" s="57"/>
    </row>
    <row r="120" spans="1:19" s="11" customFormat="1" ht="14.25" thickBot="1">
      <c r="A120" s="124"/>
      <c r="B120" s="460" t="s">
        <v>13</v>
      </c>
      <c r="C120" s="683">
        <f aca="true" t="shared" si="7" ref="C120:J120">SUM(C66:C119)</f>
        <v>12493975</v>
      </c>
      <c r="D120" s="360">
        <f t="shared" si="7"/>
        <v>12314901</v>
      </c>
      <c r="E120" s="684">
        <f t="shared" si="7"/>
        <v>12888766</v>
      </c>
      <c r="F120" s="684">
        <f t="shared" si="7"/>
        <v>12988703</v>
      </c>
      <c r="G120" s="360">
        <f t="shared" si="7"/>
        <v>13719257</v>
      </c>
      <c r="H120" s="360">
        <f t="shared" si="7"/>
        <v>5064711</v>
      </c>
      <c r="I120" s="360">
        <f t="shared" si="7"/>
        <v>6325994</v>
      </c>
      <c r="J120" s="774">
        <f t="shared" si="7"/>
        <v>14081624</v>
      </c>
      <c r="K120" s="774">
        <f>SUM(K66:K119)</f>
        <v>15211624</v>
      </c>
      <c r="L120" s="774">
        <f>SUM(L66:L119)</f>
        <v>6227432</v>
      </c>
      <c r="M120" s="774"/>
      <c r="N120" s="685"/>
      <c r="O120" s="686"/>
      <c r="P120" s="687"/>
      <c r="Q120" s="52"/>
      <c r="R120" s="501">
        <f>SUM(R72:R119)</f>
        <v>2360000</v>
      </c>
      <c r="S120" s="134"/>
    </row>
    <row r="121" spans="1:19" s="11" customFormat="1" ht="9" customHeight="1" thickBot="1">
      <c r="A121" s="124"/>
      <c r="B121" s="327"/>
      <c r="C121" s="366"/>
      <c r="D121" s="367"/>
      <c r="E121" s="5"/>
      <c r="F121" s="5"/>
      <c r="G121" s="367"/>
      <c r="H121" s="367"/>
      <c r="I121" s="367"/>
      <c r="J121" s="609"/>
      <c r="K121" s="56"/>
      <c r="L121" s="56"/>
      <c r="M121" s="775"/>
      <c r="N121" s="82"/>
      <c r="O121" s="83"/>
      <c r="P121" s="124"/>
      <c r="Q121" s="52"/>
      <c r="R121" s="16"/>
      <c r="S121" s="134"/>
    </row>
    <row r="122" spans="1:19" s="11" customFormat="1" ht="15" thickBot="1" thickTop="1">
      <c r="A122" s="124"/>
      <c r="B122" s="340" t="s">
        <v>167</v>
      </c>
      <c r="C122" s="341"/>
      <c r="D122" s="343">
        <f aca="true" t="shared" si="8" ref="D122:M122">D120-D63</f>
        <v>-154646</v>
      </c>
      <c r="E122" s="343">
        <f t="shared" si="8"/>
        <v>0</v>
      </c>
      <c r="F122" s="343">
        <f t="shared" si="8"/>
        <v>25684</v>
      </c>
      <c r="G122" s="343">
        <f t="shared" si="8"/>
        <v>0</v>
      </c>
      <c r="H122" s="343">
        <f t="shared" si="8"/>
        <v>-171073</v>
      </c>
      <c r="I122" s="343">
        <f t="shared" si="8"/>
        <v>80293</v>
      </c>
      <c r="J122" s="776">
        <f t="shared" si="8"/>
        <v>0</v>
      </c>
      <c r="K122" s="776">
        <f t="shared" si="8"/>
        <v>0</v>
      </c>
      <c r="L122" s="776">
        <f t="shared" si="8"/>
        <v>337658</v>
      </c>
      <c r="M122" s="776">
        <f t="shared" si="8"/>
        <v>0</v>
      </c>
      <c r="N122" s="82"/>
      <c r="O122" s="83"/>
      <c r="P122" s="124"/>
      <c r="Q122" s="52"/>
      <c r="R122" s="16"/>
      <c r="S122" s="134"/>
    </row>
    <row r="123" spans="2:19" ht="8.25" customHeight="1" thickTop="1">
      <c r="B123" s="67"/>
      <c r="C123" s="67"/>
      <c r="D123" s="67"/>
      <c r="E123" s="67"/>
      <c r="F123" s="67"/>
      <c r="G123" s="368"/>
      <c r="H123" s="368"/>
      <c r="I123" s="368"/>
      <c r="R123" s="28"/>
      <c r="S123" s="134"/>
    </row>
    <row r="124" spans="2:19" ht="18" thickBot="1">
      <c r="B124" s="874" t="s">
        <v>14</v>
      </c>
      <c r="C124" s="874"/>
      <c r="D124" s="874"/>
      <c r="E124" s="874"/>
      <c r="F124" s="874"/>
      <c r="G124" s="874"/>
      <c r="H124" s="874"/>
      <c r="I124" s="874"/>
      <c r="J124" s="874"/>
      <c r="K124" s="874"/>
      <c r="L124" s="874"/>
      <c r="R124" s="29"/>
      <c r="S124" s="134"/>
    </row>
    <row r="125" spans="2:19" ht="27.75">
      <c r="B125" s="454" t="s">
        <v>0</v>
      </c>
      <c r="C125" s="93" t="s">
        <v>299</v>
      </c>
      <c r="D125" s="350" t="s">
        <v>137</v>
      </c>
      <c r="E125" s="93" t="s">
        <v>299</v>
      </c>
      <c r="F125" s="350" t="s">
        <v>137</v>
      </c>
      <c r="G125" s="93" t="s">
        <v>299</v>
      </c>
      <c r="H125" s="350" t="s">
        <v>338</v>
      </c>
      <c r="I125" s="350" t="s">
        <v>338</v>
      </c>
      <c r="J125" s="749" t="s">
        <v>411</v>
      </c>
      <c r="K125" s="749" t="s">
        <v>412</v>
      </c>
      <c r="L125" s="794" t="s">
        <v>414</v>
      </c>
      <c r="M125" s="181" t="s">
        <v>415</v>
      </c>
      <c r="N125" s="1"/>
      <c r="O125" s="41"/>
      <c r="P125" s="351" t="s">
        <v>136</v>
      </c>
      <c r="R125" s="135"/>
      <c r="S125" s="134"/>
    </row>
    <row r="126" spans="2:21" ht="15.75" thickBot="1">
      <c r="B126" s="455"/>
      <c r="C126" s="539">
        <v>2015</v>
      </c>
      <c r="D126" s="353">
        <v>2015</v>
      </c>
      <c r="E126" s="540">
        <v>2016</v>
      </c>
      <c r="F126" s="540">
        <v>2016</v>
      </c>
      <c r="G126" s="353">
        <v>2017</v>
      </c>
      <c r="H126" s="418" t="s">
        <v>339</v>
      </c>
      <c r="I126" s="418" t="s">
        <v>359</v>
      </c>
      <c r="J126" s="395" t="s">
        <v>300</v>
      </c>
      <c r="K126" s="395" t="s">
        <v>300</v>
      </c>
      <c r="L126" s="866" t="s">
        <v>436</v>
      </c>
      <c r="M126" s="182"/>
      <c r="N126" s="1"/>
      <c r="O126" s="41"/>
      <c r="P126" s="355"/>
      <c r="R126" s="29"/>
      <c r="S126" s="134"/>
      <c r="T126" s="29"/>
      <c r="U126" s="29"/>
    </row>
    <row r="127" spans="1:21" s="2" customFormat="1" ht="12.75" customHeight="1">
      <c r="A127" s="124"/>
      <c r="B127" s="456" t="s">
        <v>322</v>
      </c>
      <c r="C127" s="452">
        <v>169000</v>
      </c>
      <c r="D127" s="437">
        <v>42335</v>
      </c>
      <c r="E127" s="448">
        <v>50000</v>
      </c>
      <c r="F127" s="448">
        <v>40506</v>
      </c>
      <c r="G127" s="437">
        <v>47100</v>
      </c>
      <c r="H127" s="437">
        <v>27252</v>
      </c>
      <c r="I127" s="437">
        <v>13552</v>
      </c>
      <c r="J127" s="766">
        <v>45000</v>
      </c>
      <c r="K127" s="766">
        <v>45000</v>
      </c>
      <c r="L127" s="766">
        <v>20642</v>
      </c>
      <c r="M127" s="801">
        <f aca="true" t="shared" si="9" ref="M127:M136">L127/K127</f>
        <v>0.4587111111111111</v>
      </c>
      <c r="P127" s="356"/>
      <c r="R127" s="70"/>
      <c r="S127" s="134"/>
      <c r="T127" s="70"/>
      <c r="U127" s="70"/>
    </row>
    <row r="128" spans="1:21" s="2" customFormat="1" ht="12.75" customHeight="1">
      <c r="A128" s="124"/>
      <c r="B128" s="457" t="s">
        <v>314</v>
      </c>
      <c r="C128" s="430"/>
      <c r="D128" s="398">
        <v>20088</v>
      </c>
      <c r="E128" s="397">
        <v>11000</v>
      </c>
      <c r="F128" s="397">
        <v>17147</v>
      </c>
      <c r="G128" s="398">
        <v>17300</v>
      </c>
      <c r="H128" s="398">
        <v>7095</v>
      </c>
      <c r="I128" s="398">
        <v>9915</v>
      </c>
      <c r="J128" s="757">
        <v>18000</v>
      </c>
      <c r="K128" s="757">
        <v>18000</v>
      </c>
      <c r="L128" s="757">
        <v>7499</v>
      </c>
      <c r="M128" s="801">
        <f t="shared" si="9"/>
        <v>0.4166111111111111</v>
      </c>
      <c r="P128" s="357"/>
      <c r="R128" s="70"/>
      <c r="S128" s="134"/>
      <c r="T128" s="70"/>
      <c r="U128" s="70"/>
    </row>
    <row r="129" spans="1:21" s="2" customFormat="1" ht="12.75" customHeight="1">
      <c r="A129" s="124"/>
      <c r="B129" s="457" t="s">
        <v>313</v>
      </c>
      <c r="C129" s="430"/>
      <c r="D129" s="398">
        <v>88894</v>
      </c>
      <c r="E129" s="397">
        <v>108000</v>
      </c>
      <c r="F129" s="397">
        <v>93886</v>
      </c>
      <c r="G129" s="398">
        <v>113300</v>
      </c>
      <c r="H129" s="398">
        <v>49601</v>
      </c>
      <c r="I129" s="398">
        <v>50557</v>
      </c>
      <c r="J129" s="757">
        <v>115000</v>
      </c>
      <c r="K129" s="757">
        <v>115000</v>
      </c>
      <c r="L129" s="757">
        <v>38806</v>
      </c>
      <c r="M129" s="801">
        <f t="shared" si="9"/>
        <v>0.33744347826086957</v>
      </c>
      <c r="P129" s="358"/>
      <c r="R129" s="70"/>
      <c r="S129" s="134"/>
      <c r="T129" s="70"/>
      <c r="U129" s="70"/>
    </row>
    <row r="130" spans="1:21" s="2" customFormat="1" ht="12.75" customHeight="1">
      <c r="A130" s="124"/>
      <c r="B130" s="458" t="s">
        <v>1</v>
      </c>
      <c r="C130" s="430">
        <v>25000</v>
      </c>
      <c r="D130" s="398">
        <v>0</v>
      </c>
      <c r="E130" s="595">
        <f>C130</f>
        <v>25000</v>
      </c>
      <c r="F130" s="595">
        <v>960</v>
      </c>
      <c r="G130" s="398">
        <v>20000</v>
      </c>
      <c r="H130" s="398">
        <v>0</v>
      </c>
      <c r="I130" s="398"/>
      <c r="J130" s="757">
        <f>20000-5000</f>
        <v>15000</v>
      </c>
      <c r="K130" s="757">
        <f>20000-5000</f>
        <v>15000</v>
      </c>
      <c r="L130" s="757">
        <v>0</v>
      </c>
      <c r="M130" s="801">
        <f t="shared" si="9"/>
        <v>0</v>
      </c>
      <c r="P130" s="357"/>
      <c r="R130" s="70"/>
      <c r="S130" s="134"/>
      <c r="T130" s="70"/>
      <c r="U130" s="70"/>
    </row>
    <row r="131" spans="1:21" s="2" customFormat="1" ht="12.75" customHeight="1" hidden="1">
      <c r="A131" s="124"/>
      <c r="B131" s="458" t="s">
        <v>197</v>
      </c>
      <c r="C131" s="430"/>
      <c r="D131" s="398">
        <v>5857</v>
      </c>
      <c r="E131" s="595">
        <v>197957</v>
      </c>
      <c r="F131" s="595">
        <v>197957</v>
      </c>
      <c r="G131" s="398"/>
      <c r="H131" s="398"/>
      <c r="I131" s="399"/>
      <c r="J131" s="757"/>
      <c r="K131" s="757"/>
      <c r="L131" s="757"/>
      <c r="M131" s="801" t="e">
        <f t="shared" si="9"/>
        <v>#DIV/0!</v>
      </c>
      <c r="P131" s="357"/>
      <c r="R131" s="70"/>
      <c r="S131" s="134"/>
      <c r="T131" s="70"/>
      <c r="U131" s="70"/>
    </row>
    <row r="132" spans="1:21" s="2" customFormat="1" ht="12.75" customHeight="1">
      <c r="A132" s="124"/>
      <c r="B132" s="458" t="s">
        <v>198</v>
      </c>
      <c r="C132" s="430"/>
      <c r="D132" s="398"/>
      <c r="E132" s="595"/>
      <c r="F132" s="595">
        <v>12364</v>
      </c>
      <c r="G132" s="398">
        <v>24960</v>
      </c>
      <c r="H132" s="398">
        <v>10358</v>
      </c>
      <c r="I132" s="399">
        <v>12402</v>
      </c>
      <c r="J132" s="757">
        <f>3275+1194+1943+1429+593+589+589+589+589+589+589+589+589+589+589+589+589+248+124+454+454+454+454+556+556+184+184+539+108+120+2011+311+311+311+311+311+311+311+311+311+19</f>
        <v>24766</v>
      </c>
      <c r="K132" s="757">
        <f>3275+1194+1943+1429+593+589+589+589+589+589+589+589+589+589+589+589+589+248+124+454+454+454+454+556+556+184+184+539+108+120+2011+311+311+311+311+311+311+311+311+311+19</f>
        <v>24766</v>
      </c>
      <c r="L132" s="757">
        <v>10358</v>
      </c>
      <c r="M132" s="801">
        <f t="shared" si="9"/>
        <v>0.4182346765727207</v>
      </c>
      <c r="P132" s="357"/>
      <c r="R132" s="70"/>
      <c r="S132" s="134"/>
      <c r="T132" s="70"/>
      <c r="U132" s="70"/>
    </row>
    <row r="133" spans="1:21" s="2" customFormat="1" ht="12.75" customHeight="1">
      <c r="A133" s="124"/>
      <c r="B133" s="458" t="s">
        <v>8</v>
      </c>
      <c r="C133" s="430">
        <v>6000</v>
      </c>
      <c r="D133" s="398">
        <v>25</v>
      </c>
      <c r="E133" s="595">
        <f>C133</f>
        <v>6000</v>
      </c>
      <c r="F133" s="595">
        <v>17800</v>
      </c>
      <c r="G133" s="398">
        <v>6200</v>
      </c>
      <c r="H133" s="398">
        <v>3011</v>
      </c>
      <c r="I133" s="398">
        <v>3011</v>
      </c>
      <c r="J133" s="757">
        <v>7000</v>
      </c>
      <c r="K133" s="757">
        <v>7000</v>
      </c>
      <c r="L133" s="757">
        <v>674</v>
      </c>
      <c r="M133" s="801">
        <f t="shared" si="9"/>
        <v>0.09628571428571428</v>
      </c>
      <c r="P133" s="357"/>
      <c r="R133" s="70"/>
      <c r="S133" s="134"/>
      <c r="T133" s="70"/>
      <c r="U133" s="70"/>
    </row>
    <row r="134" spans="1:21" s="2" customFormat="1" ht="12.75" customHeight="1">
      <c r="A134" s="124"/>
      <c r="B134" s="458" t="s">
        <v>16</v>
      </c>
      <c r="C134" s="430">
        <v>95000</v>
      </c>
      <c r="D134" s="398">
        <v>56433</v>
      </c>
      <c r="E134" s="595">
        <v>235800</v>
      </c>
      <c r="F134" s="595">
        <v>205254</v>
      </c>
      <c r="G134" s="398">
        <v>280000</v>
      </c>
      <c r="H134" s="398">
        <v>34311</v>
      </c>
      <c r="I134" s="398">
        <v>35590</v>
      </c>
      <c r="J134" s="757">
        <v>100000</v>
      </c>
      <c r="K134" s="757">
        <v>100000</v>
      </c>
      <c r="L134" s="757">
        <v>16418</v>
      </c>
      <c r="M134" s="801">
        <f t="shared" si="9"/>
        <v>0.16418</v>
      </c>
      <c r="P134" s="357"/>
      <c r="R134" s="70"/>
      <c r="S134" s="134"/>
      <c r="T134" s="70"/>
      <c r="U134" s="70"/>
    </row>
    <row r="135" spans="1:21" s="2" customFormat="1" ht="12.75" customHeight="1">
      <c r="A135" s="124"/>
      <c r="B135" s="748" t="s">
        <v>435</v>
      </c>
      <c r="C135" s="864"/>
      <c r="D135" s="492"/>
      <c r="E135" s="865"/>
      <c r="F135" s="865"/>
      <c r="G135" s="492"/>
      <c r="H135" s="492"/>
      <c r="I135" s="492"/>
      <c r="J135" s="773"/>
      <c r="K135" s="773">
        <v>30000</v>
      </c>
      <c r="L135" s="773"/>
      <c r="M135" s="801"/>
      <c r="P135" s="688"/>
      <c r="R135" s="70"/>
      <c r="S135" s="134"/>
      <c r="T135" s="70"/>
      <c r="U135" s="70"/>
    </row>
    <row r="136" spans="1:21" s="2" customFormat="1" ht="12.75" customHeight="1" thickBot="1">
      <c r="A136" s="124"/>
      <c r="B136" s="549" t="s">
        <v>10</v>
      </c>
      <c r="C136" s="550">
        <v>319340</v>
      </c>
      <c r="D136" s="551">
        <v>287854</v>
      </c>
      <c r="E136" s="552">
        <v>319826</v>
      </c>
      <c r="F136" s="552">
        <v>298092</v>
      </c>
      <c r="G136" s="551">
        <v>442295</v>
      </c>
      <c r="H136" s="551">
        <v>143190</v>
      </c>
      <c r="I136" s="551">
        <v>180034</v>
      </c>
      <c r="J136" s="779">
        <v>590481</v>
      </c>
      <c r="K136" s="779">
        <v>590481</v>
      </c>
      <c r="L136" s="779">
        <v>176874</v>
      </c>
      <c r="M136" s="821">
        <f t="shared" si="9"/>
        <v>0.2995422375995163</v>
      </c>
      <c r="P136" s="359"/>
      <c r="Q136" s="70"/>
      <c r="R136" s="70"/>
      <c r="S136" s="500"/>
      <c r="T136" s="70"/>
      <c r="U136" s="70"/>
    </row>
    <row r="137" spans="1:21" s="11" customFormat="1" ht="14.25" thickBot="1">
      <c r="A137" s="124"/>
      <c r="B137" s="460" t="s">
        <v>2</v>
      </c>
      <c r="C137" s="373">
        <f aca="true" t="shared" si="10" ref="C137:J137">SUM(C127:C136)</f>
        <v>614340</v>
      </c>
      <c r="D137" s="360">
        <f t="shared" si="10"/>
        <v>501486</v>
      </c>
      <c r="E137" s="371">
        <f t="shared" si="10"/>
        <v>953583</v>
      </c>
      <c r="F137" s="371">
        <f t="shared" si="10"/>
        <v>883966</v>
      </c>
      <c r="G137" s="360">
        <f t="shared" si="10"/>
        <v>951155</v>
      </c>
      <c r="H137" s="360">
        <f t="shared" si="10"/>
        <v>274818</v>
      </c>
      <c r="I137" s="372">
        <f t="shared" si="10"/>
        <v>305061</v>
      </c>
      <c r="J137" s="780">
        <f t="shared" si="10"/>
        <v>915247</v>
      </c>
      <c r="K137" s="780">
        <f>SUM(K127:K136)</f>
        <v>945247</v>
      </c>
      <c r="L137" s="780">
        <f>SUM(L127:L136)</f>
        <v>271271</v>
      </c>
      <c r="M137" s="780"/>
      <c r="P137" s="124"/>
      <c r="Q137" s="16"/>
      <c r="R137" s="52"/>
      <c r="S137" s="500"/>
      <c r="T137" s="52"/>
      <c r="U137" s="52"/>
    </row>
    <row r="138" spans="2:21" ht="15.75" thickBot="1">
      <c r="B138" s="3"/>
      <c r="C138" s="17"/>
      <c r="D138" s="17"/>
      <c r="E138" s="22"/>
      <c r="F138" s="22"/>
      <c r="G138" s="362"/>
      <c r="H138" s="362"/>
      <c r="I138" s="362"/>
      <c r="J138" s="751"/>
      <c r="K138" s="751"/>
      <c r="L138" s="751"/>
      <c r="M138" s="751"/>
      <c r="Q138" s="16"/>
      <c r="R138" s="29"/>
      <c r="T138" s="29"/>
      <c r="U138" s="29"/>
    </row>
    <row r="139" spans="2:21" ht="15.75" thickBot="1">
      <c r="B139" s="89" t="s">
        <v>3</v>
      </c>
      <c r="C139" s="17"/>
      <c r="D139" s="17"/>
      <c r="E139" s="22"/>
      <c r="F139" s="22"/>
      <c r="G139" s="362"/>
      <c r="H139" s="362"/>
      <c r="I139" s="362"/>
      <c r="J139" s="609"/>
      <c r="K139" s="609"/>
      <c r="L139" s="609"/>
      <c r="M139" s="609"/>
      <c r="Q139" s="16"/>
      <c r="R139" s="29"/>
      <c r="T139" s="29"/>
      <c r="U139" s="29"/>
    </row>
    <row r="140" spans="2:21" ht="12.75" customHeight="1">
      <c r="B140" s="642" t="s">
        <v>11</v>
      </c>
      <c r="C140" s="452">
        <v>21000</v>
      </c>
      <c r="D140" s="437">
        <v>68390</v>
      </c>
      <c r="E140" s="448">
        <f>C140</f>
        <v>21000</v>
      </c>
      <c r="F140" s="448">
        <v>63713</v>
      </c>
      <c r="G140" s="437">
        <v>25000</v>
      </c>
      <c r="H140" s="437">
        <v>10525</v>
      </c>
      <c r="I140" s="437">
        <v>11115</v>
      </c>
      <c r="J140" s="766">
        <v>40000</v>
      </c>
      <c r="K140" s="766">
        <v>40000</v>
      </c>
      <c r="L140" s="766">
        <v>6710</v>
      </c>
      <c r="M140" s="766"/>
      <c r="P140" s="356"/>
      <c r="Q140" s="16"/>
      <c r="R140" s="29"/>
      <c r="T140" s="29"/>
      <c r="U140" s="29"/>
    </row>
    <row r="141" spans="2:21" ht="12.75" customHeight="1" hidden="1">
      <c r="B141" s="643" t="s">
        <v>199</v>
      </c>
      <c r="C141" s="430"/>
      <c r="D141" s="398"/>
      <c r="E141" s="397"/>
      <c r="F141" s="397"/>
      <c r="G141" s="398"/>
      <c r="H141" s="398"/>
      <c r="I141" s="399"/>
      <c r="J141" s="757"/>
      <c r="K141" s="757"/>
      <c r="L141" s="757"/>
      <c r="M141" s="757"/>
      <c r="P141" s="357"/>
      <c r="Q141" s="16"/>
      <c r="R141" s="29"/>
      <c r="T141" s="29"/>
      <c r="U141" s="29"/>
    </row>
    <row r="142" spans="2:21" ht="12.75" customHeight="1" hidden="1">
      <c r="B142" s="643" t="s">
        <v>200</v>
      </c>
      <c r="C142" s="430"/>
      <c r="D142" s="398"/>
      <c r="E142" s="595">
        <v>197957</v>
      </c>
      <c r="F142" s="595">
        <v>197957</v>
      </c>
      <c r="G142" s="398"/>
      <c r="H142" s="398"/>
      <c r="I142" s="399"/>
      <c r="J142" s="757"/>
      <c r="K142" s="757"/>
      <c r="L142" s="757"/>
      <c r="M142" s="757"/>
      <c r="P142" s="357"/>
      <c r="Q142" s="16"/>
      <c r="R142" s="29"/>
      <c r="T142" s="29"/>
      <c r="U142" s="29"/>
    </row>
    <row r="143" spans="2:21" ht="12.75" customHeight="1">
      <c r="B143" s="748" t="s">
        <v>435</v>
      </c>
      <c r="C143" s="864"/>
      <c r="D143" s="492"/>
      <c r="E143" s="865"/>
      <c r="F143" s="865"/>
      <c r="G143" s="492"/>
      <c r="H143" s="492"/>
      <c r="I143" s="680"/>
      <c r="J143" s="773"/>
      <c r="K143" s="773">
        <v>30000</v>
      </c>
      <c r="L143" s="773"/>
      <c r="M143" s="757"/>
      <c r="P143" s="688"/>
      <c r="Q143" s="16"/>
      <c r="R143" s="29"/>
      <c r="T143" s="29"/>
      <c r="U143" s="29"/>
    </row>
    <row r="144" spans="2:21" ht="14.25" thickBot="1">
      <c r="B144" s="553" t="s">
        <v>4</v>
      </c>
      <c r="C144" s="554">
        <v>593340</v>
      </c>
      <c r="D144" s="555">
        <v>566000</v>
      </c>
      <c r="E144" s="556">
        <f>C144+486+140800</f>
        <v>734626</v>
      </c>
      <c r="F144" s="556">
        <v>734626</v>
      </c>
      <c r="G144" s="555">
        <v>926155</v>
      </c>
      <c r="H144" s="555">
        <v>380595</v>
      </c>
      <c r="I144" s="555">
        <v>456714</v>
      </c>
      <c r="J144" s="781">
        <v>875247</v>
      </c>
      <c r="K144" s="781">
        <v>875247</v>
      </c>
      <c r="L144" s="781">
        <v>360398</v>
      </c>
      <c r="M144" s="807">
        <f>L144/K144</f>
        <v>0.411767192575353</v>
      </c>
      <c r="P144" s="359"/>
      <c r="Q144" s="28"/>
      <c r="R144" s="29"/>
      <c r="T144" s="29"/>
      <c r="U144" s="29"/>
    </row>
    <row r="145" spans="1:21" s="11" customFormat="1" ht="14.25" thickBot="1">
      <c r="A145" s="124"/>
      <c r="B145" s="460" t="s">
        <v>5</v>
      </c>
      <c r="C145" s="373">
        <f aca="true" t="shared" si="11" ref="C145:J145">SUM(C140:C144)</f>
        <v>614340</v>
      </c>
      <c r="D145" s="360">
        <f t="shared" si="11"/>
        <v>634390</v>
      </c>
      <c r="E145" s="371">
        <f t="shared" si="11"/>
        <v>953583</v>
      </c>
      <c r="F145" s="371">
        <f t="shared" si="11"/>
        <v>996296</v>
      </c>
      <c r="G145" s="360">
        <f t="shared" si="11"/>
        <v>951155</v>
      </c>
      <c r="H145" s="360">
        <f t="shared" si="11"/>
        <v>391120</v>
      </c>
      <c r="I145" s="372">
        <f t="shared" si="11"/>
        <v>467829</v>
      </c>
      <c r="J145" s="780">
        <f t="shared" si="11"/>
        <v>915247</v>
      </c>
      <c r="K145" s="780">
        <f>SUM(K140:K144)</f>
        <v>945247</v>
      </c>
      <c r="L145" s="780">
        <f>SUM(L140:L144)</f>
        <v>367108</v>
      </c>
      <c r="M145" s="780">
        <f>SUM(M140:M144)</f>
        <v>0.411767192575353</v>
      </c>
      <c r="P145" s="124"/>
      <c r="Q145" s="16"/>
      <c r="R145" s="52"/>
      <c r="S145" s="500"/>
      <c r="T145" s="52"/>
      <c r="U145" s="52"/>
    </row>
    <row r="146" spans="2:21" ht="7.5" customHeight="1" thickBot="1">
      <c r="B146" s="20"/>
      <c r="D146" s="362"/>
      <c r="G146" s="362"/>
      <c r="H146" s="362"/>
      <c r="I146" s="362"/>
      <c r="K146" s="777"/>
      <c r="L146" s="777"/>
      <c r="M146" s="777"/>
      <c r="Q146" s="16"/>
      <c r="R146" s="29"/>
      <c r="T146" s="29"/>
      <c r="U146" s="29"/>
    </row>
    <row r="147" spans="2:21" ht="15" thickBot="1" thickTop="1">
      <c r="B147" s="340" t="s">
        <v>168</v>
      </c>
      <c r="C147" s="341"/>
      <c r="D147" s="343">
        <f aca="true" t="shared" si="12" ref="D147:J147">D145-D137</f>
        <v>132904</v>
      </c>
      <c r="E147" s="343">
        <f t="shared" si="12"/>
        <v>0</v>
      </c>
      <c r="F147" s="343">
        <f t="shared" si="12"/>
        <v>112330</v>
      </c>
      <c r="G147" s="343">
        <f t="shared" si="12"/>
        <v>0</v>
      </c>
      <c r="H147" s="343">
        <f t="shared" si="12"/>
        <v>116302</v>
      </c>
      <c r="I147" s="343">
        <f t="shared" si="12"/>
        <v>162768</v>
      </c>
      <c r="J147" s="776">
        <f t="shared" si="12"/>
        <v>0</v>
      </c>
      <c r="K147" s="776">
        <f>K145-K137</f>
        <v>0</v>
      </c>
      <c r="L147" s="776">
        <f>L145-L137</f>
        <v>95837</v>
      </c>
      <c r="M147" s="776">
        <f>M145-M137</f>
        <v>0.411767192575353</v>
      </c>
      <c r="Q147" s="16"/>
      <c r="R147" s="29"/>
      <c r="T147" s="29"/>
      <c r="U147" s="29"/>
    </row>
    <row r="148" spans="2:21" ht="14.25" thickTop="1">
      <c r="B148" s="20"/>
      <c r="G148" s="362"/>
      <c r="H148" s="362"/>
      <c r="I148" s="362"/>
      <c r="Q148" s="16"/>
      <c r="R148" s="29"/>
      <c r="T148" s="29"/>
      <c r="U148" s="29"/>
    </row>
    <row r="149" spans="2:21" ht="18" thickBot="1">
      <c r="B149" s="875" t="s">
        <v>15</v>
      </c>
      <c r="C149" s="875"/>
      <c r="D149" s="875"/>
      <c r="E149" s="875"/>
      <c r="F149" s="875"/>
      <c r="G149" s="875"/>
      <c r="H149" s="875"/>
      <c r="I149" s="875"/>
      <c r="J149" s="875"/>
      <c r="K149" s="875"/>
      <c r="L149" s="875"/>
      <c r="M149" s="875"/>
      <c r="N149" s="875"/>
      <c r="O149" s="875"/>
      <c r="Q149" s="16"/>
      <c r="R149" s="29"/>
      <c r="T149" s="29"/>
      <c r="U149" s="29"/>
    </row>
    <row r="150" spans="2:21" ht="27.75">
      <c r="B150" s="454" t="s">
        <v>0</v>
      </c>
      <c r="C150" s="93" t="s">
        <v>299</v>
      </c>
      <c r="D150" s="350" t="s">
        <v>137</v>
      </c>
      <c r="E150" s="93" t="s">
        <v>299</v>
      </c>
      <c r="F150" s="350" t="s">
        <v>137</v>
      </c>
      <c r="G150" s="93" t="s">
        <v>299</v>
      </c>
      <c r="H150" s="350" t="s">
        <v>338</v>
      </c>
      <c r="I150" s="350" t="s">
        <v>338</v>
      </c>
      <c r="J150" s="749" t="s">
        <v>411</v>
      </c>
      <c r="K150" s="749" t="s">
        <v>412</v>
      </c>
      <c r="L150" s="794" t="s">
        <v>414</v>
      </c>
      <c r="M150" s="181" t="s">
        <v>415</v>
      </c>
      <c r="N150" s="1"/>
      <c r="O150" s="41"/>
      <c r="P150" s="351" t="s">
        <v>136</v>
      </c>
      <c r="Q150" s="16"/>
      <c r="R150" s="29"/>
      <c r="T150" s="29"/>
      <c r="U150" s="29"/>
    </row>
    <row r="151" spans="2:21" ht="15.75" thickBot="1">
      <c r="B151" s="470"/>
      <c r="C151" s="539">
        <v>2015</v>
      </c>
      <c r="D151" s="353">
        <v>2015</v>
      </c>
      <c r="E151" s="540">
        <v>2016</v>
      </c>
      <c r="F151" s="540">
        <v>2016</v>
      </c>
      <c r="G151" s="353">
        <v>2017</v>
      </c>
      <c r="H151" s="418" t="s">
        <v>339</v>
      </c>
      <c r="I151" s="418" t="s">
        <v>359</v>
      </c>
      <c r="J151" s="395" t="s">
        <v>300</v>
      </c>
      <c r="K151" s="395" t="s">
        <v>300</v>
      </c>
      <c r="L151" s="866" t="s">
        <v>436</v>
      </c>
      <c r="M151" s="182"/>
      <c r="N151" s="1"/>
      <c r="O151" s="41"/>
      <c r="P151" s="355"/>
      <c r="Q151" s="16"/>
      <c r="R151" s="29"/>
      <c r="T151" s="29"/>
      <c r="U151" s="29"/>
    </row>
    <row r="152" spans="2:21" ht="13.5">
      <c r="B152" s="471" t="s">
        <v>315</v>
      </c>
      <c r="C152" s="467">
        <v>95000</v>
      </c>
      <c r="D152" s="437">
        <v>47883</v>
      </c>
      <c r="E152" s="448">
        <v>60000</v>
      </c>
      <c r="F152" s="448">
        <v>42131</v>
      </c>
      <c r="G152" s="437">
        <v>60000</v>
      </c>
      <c r="H152" s="437">
        <v>33283</v>
      </c>
      <c r="I152" s="437">
        <v>37588</v>
      </c>
      <c r="J152" s="766">
        <v>60000</v>
      </c>
      <c r="K152" s="766">
        <v>60000</v>
      </c>
      <c r="L152" s="766">
        <v>17810</v>
      </c>
      <c r="M152" s="800">
        <f>L152/K152</f>
        <v>0.29683333333333334</v>
      </c>
      <c r="N152" s="31"/>
      <c r="O152" s="10"/>
      <c r="P152" s="356"/>
      <c r="Q152" s="16"/>
      <c r="R152" s="29"/>
      <c r="T152" s="29"/>
      <c r="U152" s="29"/>
    </row>
    <row r="153" spans="2:21" ht="13.5">
      <c r="B153" s="472" t="s">
        <v>314</v>
      </c>
      <c r="C153" s="468"/>
      <c r="D153" s="398">
        <v>2902</v>
      </c>
      <c r="E153" s="397">
        <v>5000</v>
      </c>
      <c r="F153" s="397">
        <v>4116</v>
      </c>
      <c r="G153" s="398">
        <v>5000</v>
      </c>
      <c r="H153" s="398">
        <v>1152</v>
      </c>
      <c r="I153" s="398">
        <v>1536</v>
      </c>
      <c r="J153" s="757">
        <v>5000</v>
      </c>
      <c r="K153" s="757">
        <v>5000</v>
      </c>
      <c r="L153" s="757">
        <v>-2818</v>
      </c>
      <c r="M153" s="801">
        <f>L153/K153</f>
        <v>-0.5636</v>
      </c>
      <c r="N153" s="31"/>
      <c r="O153" s="10"/>
      <c r="P153" s="357"/>
      <c r="Q153" s="16"/>
      <c r="R153" s="29"/>
      <c r="T153" s="29"/>
      <c r="U153" s="29"/>
    </row>
    <row r="154" spans="2:21" ht="13.5">
      <c r="B154" s="478" t="s">
        <v>313</v>
      </c>
      <c r="C154" s="479"/>
      <c r="D154" s="423">
        <v>13904</v>
      </c>
      <c r="E154" s="422">
        <v>30000</v>
      </c>
      <c r="F154" s="422">
        <v>12739</v>
      </c>
      <c r="G154" s="423">
        <v>20000</v>
      </c>
      <c r="H154" s="423">
        <v>7156</v>
      </c>
      <c r="I154" s="423">
        <v>7506</v>
      </c>
      <c r="J154" s="782">
        <v>20000</v>
      </c>
      <c r="K154" s="782">
        <v>20000</v>
      </c>
      <c r="L154" s="782">
        <v>5714</v>
      </c>
      <c r="M154" s="802">
        <f aca="true" t="shared" si="13" ref="M154:M164">L154/K154</f>
        <v>0.2857</v>
      </c>
      <c r="N154" s="31"/>
      <c r="O154" s="10"/>
      <c r="P154" s="357"/>
      <c r="Q154" s="16"/>
      <c r="R154" s="29"/>
      <c r="T154" s="29"/>
      <c r="U154" s="29"/>
    </row>
    <row r="155" spans="2:21" ht="13.5">
      <c r="B155" s="476" t="s">
        <v>1</v>
      </c>
      <c r="C155" s="477">
        <v>25000</v>
      </c>
      <c r="D155" s="411">
        <v>800</v>
      </c>
      <c r="E155" s="410">
        <f>C155</f>
        <v>25000</v>
      </c>
      <c r="F155" s="410">
        <v>1990</v>
      </c>
      <c r="G155" s="411">
        <v>10000</v>
      </c>
      <c r="H155" s="411">
        <v>0</v>
      </c>
      <c r="I155" s="411"/>
      <c r="J155" s="754">
        <f>10000-5000</f>
        <v>5000</v>
      </c>
      <c r="K155" s="754">
        <f>10000-5000</f>
        <v>5000</v>
      </c>
      <c r="L155" s="754">
        <v>2481</v>
      </c>
      <c r="M155" s="800">
        <f t="shared" si="13"/>
        <v>0.4962</v>
      </c>
      <c r="N155" s="31"/>
      <c r="O155" s="10"/>
      <c r="P155" s="357"/>
      <c r="Q155" s="16"/>
      <c r="R155" s="29"/>
      <c r="T155" s="29"/>
      <c r="U155" s="29"/>
    </row>
    <row r="156" spans="2:21" ht="13.5">
      <c r="B156" s="473" t="s">
        <v>8</v>
      </c>
      <c r="C156" s="468">
        <v>36000</v>
      </c>
      <c r="D156" s="398">
        <v>39835</v>
      </c>
      <c r="E156" s="397">
        <f aca="true" t="shared" si="14" ref="E156:E163">C156</f>
        <v>36000</v>
      </c>
      <c r="F156" s="397">
        <v>80846</v>
      </c>
      <c r="G156" s="398">
        <v>50000</v>
      </c>
      <c r="H156" s="398">
        <v>5787</v>
      </c>
      <c r="I156" s="398">
        <v>6789</v>
      </c>
      <c r="J156" s="757">
        <v>50000</v>
      </c>
      <c r="K156" s="757">
        <v>50000</v>
      </c>
      <c r="L156" s="757">
        <v>-38666</v>
      </c>
      <c r="M156" s="801">
        <f t="shared" si="13"/>
        <v>-0.77332</v>
      </c>
      <c r="N156" s="31"/>
      <c r="O156" s="10"/>
      <c r="P156" s="357"/>
      <c r="Q156" s="16"/>
      <c r="R156" s="29"/>
      <c r="T156" s="29"/>
      <c r="U156" s="29"/>
    </row>
    <row r="157" spans="2:21" ht="13.5">
      <c r="B157" s="473" t="s">
        <v>9</v>
      </c>
      <c r="C157" s="468">
        <v>1000</v>
      </c>
      <c r="D157" s="398">
        <v>94</v>
      </c>
      <c r="E157" s="397">
        <f t="shared" si="14"/>
        <v>1000</v>
      </c>
      <c r="F157" s="397">
        <v>346</v>
      </c>
      <c r="G157" s="398">
        <v>15000</v>
      </c>
      <c r="H157" s="398">
        <v>201</v>
      </c>
      <c r="I157" s="399">
        <v>396</v>
      </c>
      <c r="J157" s="757">
        <f>15000-5000</f>
        <v>10000</v>
      </c>
      <c r="K157" s="757">
        <f>15000-5000</f>
        <v>10000</v>
      </c>
      <c r="L157" s="757">
        <v>0</v>
      </c>
      <c r="M157" s="801">
        <f t="shared" si="13"/>
        <v>0</v>
      </c>
      <c r="N157" s="31"/>
      <c r="O157" s="10"/>
      <c r="P157" s="357"/>
      <c r="Q157" s="16"/>
      <c r="R157" s="29"/>
      <c r="T157" s="29"/>
      <c r="U157" s="29"/>
    </row>
    <row r="158" spans="2:21" ht="13.5">
      <c r="B158" s="473" t="s">
        <v>16</v>
      </c>
      <c r="C158" s="468">
        <v>311000</v>
      </c>
      <c r="D158" s="398">
        <f>331542-68926+37020</f>
        <v>299636</v>
      </c>
      <c r="E158" s="397">
        <f t="shared" si="14"/>
        <v>311000</v>
      </c>
      <c r="F158" s="397">
        <v>140614</v>
      </c>
      <c r="G158" s="398">
        <v>250000</v>
      </c>
      <c r="H158" s="398">
        <v>17766</v>
      </c>
      <c r="I158" s="399">
        <v>34327</v>
      </c>
      <c r="J158" s="757">
        <f>250000-50000</f>
        <v>200000</v>
      </c>
      <c r="K158" s="757">
        <f>250000-50000</f>
        <v>200000</v>
      </c>
      <c r="L158" s="757">
        <f>64498-L160-L161-L162-L163</f>
        <v>23304</v>
      </c>
      <c r="M158" s="801">
        <f t="shared" si="13"/>
        <v>0.11652</v>
      </c>
      <c r="N158" s="31"/>
      <c r="O158" s="10"/>
      <c r="P158" s="357"/>
      <c r="Q158" s="124" t="s">
        <v>174</v>
      </c>
      <c r="R158" s="29"/>
      <c r="S158" s="516" t="s">
        <v>291</v>
      </c>
      <c r="T158" s="29"/>
      <c r="U158" s="29"/>
    </row>
    <row r="159" spans="2:21" ht="13.5" hidden="1">
      <c r="B159" s="473" t="s">
        <v>57</v>
      </c>
      <c r="C159" s="468">
        <v>2500</v>
      </c>
      <c r="D159" s="398">
        <v>2110</v>
      </c>
      <c r="E159" s="397">
        <f t="shared" si="14"/>
        <v>2500</v>
      </c>
      <c r="F159" s="397">
        <v>0</v>
      </c>
      <c r="G159" s="398"/>
      <c r="H159" s="398"/>
      <c r="I159" s="398"/>
      <c r="J159" s="757">
        <v>0</v>
      </c>
      <c r="K159" s="757">
        <v>0</v>
      </c>
      <c r="L159" s="757"/>
      <c r="M159" s="801" t="e">
        <f t="shared" si="13"/>
        <v>#DIV/0!</v>
      </c>
      <c r="N159" s="31"/>
      <c r="O159" s="10"/>
      <c r="P159" s="357"/>
      <c r="Q159" s="53"/>
      <c r="R159" s="29"/>
      <c r="T159" s="29"/>
      <c r="U159" s="29"/>
    </row>
    <row r="160" spans="1:21" ht="13.5">
      <c r="A160" s="124">
        <v>1315</v>
      </c>
      <c r="B160" s="473" t="s">
        <v>59</v>
      </c>
      <c r="C160" s="468">
        <v>25000</v>
      </c>
      <c r="D160" s="398">
        <v>30675</v>
      </c>
      <c r="E160" s="397">
        <f t="shared" si="14"/>
        <v>25000</v>
      </c>
      <c r="F160" s="397">
        <v>3754</v>
      </c>
      <c r="G160" s="398">
        <v>66000</v>
      </c>
      <c r="H160" s="398">
        <v>14826</v>
      </c>
      <c r="I160" s="399">
        <v>14826</v>
      </c>
      <c r="J160" s="757">
        <v>66000</v>
      </c>
      <c r="K160" s="757">
        <v>66000</v>
      </c>
      <c r="L160" s="757">
        <v>14400</v>
      </c>
      <c r="M160" s="801">
        <f t="shared" si="13"/>
        <v>0.21818181818181817</v>
      </c>
      <c r="N160" s="31"/>
      <c r="O160" s="10"/>
      <c r="P160" s="357"/>
      <c r="Q160" s="53">
        <f>J160</f>
        <v>66000</v>
      </c>
      <c r="R160" s="29"/>
      <c r="S160" s="515">
        <v>41000</v>
      </c>
      <c r="T160" s="29"/>
      <c r="U160" s="29"/>
    </row>
    <row r="161" spans="1:21" ht="13.5">
      <c r="A161" s="124">
        <v>1309</v>
      </c>
      <c r="B161" s="473" t="s">
        <v>223</v>
      </c>
      <c r="C161" s="468">
        <v>20000</v>
      </c>
      <c r="D161" s="398">
        <v>124373</v>
      </c>
      <c r="E161" s="397">
        <f t="shared" si="14"/>
        <v>20000</v>
      </c>
      <c r="F161" s="397">
        <v>127566</v>
      </c>
      <c r="G161" s="398">
        <v>135000</v>
      </c>
      <c r="H161" s="398">
        <v>38163</v>
      </c>
      <c r="I161" s="399">
        <v>55745</v>
      </c>
      <c r="J161" s="757">
        <v>135000</v>
      </c>
      <c r="K161" s="757">
        <v>135000</v>
      </c>
      <c r="L161" s="757">
        <v>26794</v>
      </c>
      <c r="M161" s="801">
        <f t="shared" si="13"/>
        <v>0.19847407407407408</v>
      </c>
      <c r="N161" s="31"/>
      <c r="O161" s="10"/>
      <c r="P161" s="357"/>
      <c r="Q161" s="53">
        <f>J161</f>
        <v>135000</v>
      </c>
      <c r="R161" s="29"/>
      <c r="S161" s="515">
        <v>95000</v>
      </c>
      <c r="T161" s="29"/>
      <c r="U161" s="29"/>
    </row>
    <row r="162" spans="1:21" ht="13.5">
      <c r="A162" s="124">
        <v>1327</v>
      </c>
      <c r="B162" s="473" t="s">
        <v>203</v>
      </c>
      <c r="C162" s="468">
        <v>15000</v>
      </c>
      <c r="D162" s="398">
        <v>14748</v>
      </c>
      <c r="E162" s="397">
        <f t="shared" si="14"/>
        <v>15000</v>
      </c>
      <c r="F162" s="397">
        <v>15574</v>
      </c>
      <c r="G162" s="398">
        <v>20000</v>
      </c>
      <c r="H162" s="398">
        <v>1005</v>
      </c>
      <c r="I162" s="399">
        <v>2797</v>
      </c>
      <c r="J162" s="757">
        <v>30000</v>
      </c>
      <c r="K162" s="757">
        <v>30000</v>
      </c>
      <c r="L162" s="757">
        <v>0</v>
      </c>
      <c r="M162" s="801">
        <f t="shared" si="13"/>
        <v>0</v>
      </c>
      <c r="N162" s="31"/>
      <c r="O162" s="10"/>
      <c r="P162" s="357"/>
      <c r="Q162" s="53">
        <f>J162</f>
        <v>30000</v>
      </c>
      <c r="R162" s="29"/>
      <c r="S162" s="515"/>
      <c r="T162" s="29"/>
      <c r="U162" s="29"/>
    </row>
    <row r="163" spans="1:21" ht="13.5">
      <c r="A163" s="124">
        <v>1317</v>
      </c>
      <c r="B163" s="473" t="s">
        <v>204</v>
      </c>
      <c r="C163" s="468">
        <v>30000</v>
      </c>
      <c r="D163" s="398"/>
      <c r="E163" s="397">
        <f t="shared" si="14"/>
        <v>30000</v>
      </c>
      <c r="F163" s="397">
        <v>39066</v>
      </c>
      <c r="G163" s="398">
        <v>32000</v>
      </c>
      <c r="H163" s="398">
        <v>0</v>
      </c>
      <c r="I163" s="399">
        <v>0</v>
      </c>
      <c r="J163" s="757">
        <v>32000</v>
      </c>
      <c r="K163" s="757">
        <v>32000</v>
      </c>
      <c r="L163" s="757">
        <v>0</v>
      </c>
      <c r="M163" s="801">
        <f t="shared" si="13"/>
        <v>0</v>
      </c>
      <c r="N163" s="31"/>
      <c r="O163" s="10"/>
      <c r="P163" s="357"/>
      <c r="Q163" s="53">
        <f>J163</f>
        <v>32000</v>
      </c>
      <c r="R163" s="29"/>
      <c r="S163" s="515">
        <v>12000</v>
      </c>
      <c r="T163" s="29"/>
      <c r="U163" s="29"/>
    </row>
    <row r="164" spans="2:21" ht="14.25" thickBot="1">
      <c r="B164" s="557" t="s">
        <v>10</v>
      </c>
      <c r="C164" s="558">
        <v>751129</v>
      </c>
      <c r="D164" s="551">
        <v>731469</v>
      </c>
      <c r="E164" s="552">
        <v>753477</v>
      </c>
      <c r="F164" s="552">
        <v>703845</v>
      </c>
      <c r="G164" s="551">
        <v>961688</v>
      </c>
      <c r="H164" s="551">
        <v>334787</v>
      </c>
      <c r="I164" s="551">
        <v>418880</v>
      </c>
      <c r="J164" s="779">
        <v>1131691</v>
      </c>
      <c r="K164" s="779">
        <v>1131691</v>
      </c>
      <c r="L164" s="779">
        <v>437160</v>
      </c>
      <c r="M164" s="822">
        <f t="shared" si="13"/>
        <v>0.38628919024716113</v>
      </c>
      <c r="N164" s="31"/>
      <c r="O164" s="10"/>
      <c r="P164" s="359"/>
      <c r="Q164" s="16"/>
      <c r="R164" s="29"/>
      <c r="S164" s="515"/>
      <c r="T164" s="29"/>
      <c r="U164" s="29"/>
    </row>
    <row r="165" spans="1:21" s="11" customFormat="1" ht="14.25" thickBot="1">
      <c r="A165" s="124"/>
      <c r="B165" s="475" t="s">
        <v>2</v>
      </c>
      <c r="C165" s="331">
        <f aca="true" t="shared" si="15" ref="C165:J165">SUM(C152:C164)</f>
        <v>1311629</v>
      </c>
      <c r="D165" s="365">
        <f t="shared" si="15"/>
        <v>1308429</v>
      </c>
      <c r="E165" s="77">
        <f t="shared" si="15"/>
        <v>1313977</v>
      </c>
      <c r="F165" s="77">
        <f t="shared" si="15"/>
        <v>1172587</v>
      </c>
      <c r="G165" s="365">
        <f t="shared" si="15"/>
        <v>1624688</v>
      </c>
      <c r="H165" s="365">
        <f t="shared" si="15"/>
        <v>454126</v>
      </c>
      <c r="I165" s="365">
        <f t="shared" si="15"/>
        <v>580390</v>
      </c>
      <c r="J165" s="783">
        <f t="shared" si="15"/>
        <v>1744691</v>
      </c>
      <c r="K165" s="783">
        <f>SUM(K152:K164)</f>
        <v>1744691</v>
      </c>
      <c r="L165" s="783">
        <f>SUM(L152:L164)</f>
        <v>486179</v>
      </c>
      <c r="M165" s="780"/>
      <c r="N165" s="51"/>
      <c r="O165" s="83"/>
      <c r="P165" s="124"/>
      <c r="Q165" s="511">
        <f>SUM(Q159:Q164)</f>
        <v>263000</v>
      </c>
      <c r="R165" s="52"/>
      <c r="S165" s="519">
        <f>SUM(S160:S164)</f>
        <v>148000</v>
      </c>
      <c r="T165" s="52"/>
      <c r="U165" s="52"/>
    </row>
    <row r="166" spans="2:21" ht="15.75" thickBot="1">
      <c r="B166" s="21"/>
      <c r="C166" s="23"/>
      <c r="D166" s="23"/>
      <c r="E166" s="22"/>
      <c r="F166" s="22"/>
      <c r="G166" s="362"/>
      <c r="H166" s="362"/>
      <c r="I166" s="362"/>
      <c r="K166" s="777"/>
      <c r="L166" s="777"/>
      <c r="M166" s="777"/>
      <c r="N166" s="31"/>
      <c r="O166" s="10"/>
      <c r="Q166" s="29"/>
      <c r="R166" s="29"/>
      <c r="T166" s="29"/>
      <c r="U166" s="29"/>
    </row>
    <row r="167" spans="2:21" ht="15.75" thickBot="1">
      <c r="B167" s="24" t="s">
        <v>3</v>
      </c>
      <c r="C167" s="23"/>
      <c r="D167" s="23"/>
      <c r="E167" s="22"/>
      <c r="F167" s="22"/>
      <c r="G167" s="362"/>
      <c r="H167" s="362"/>
      <c r="I167" s="362"/>
      <c r="K167" s="777"/>
      <c r="L167" s="777"/>
      <c r="M167" s="777"/>
      <c r="N167" s="31"/>
      <c r="O167" s="10"/>
      <c r="Q167" s="135"/>
      <c r="R167" s="29"/>
      <c r="T167" s="29"/>
      <c r="U167" s="29"/>
    </row>
    <row r="168" spans="2:21" ht="13.5">
      <c r="B168" s="471" t="s">
        <v>11</v>
      </c>
      <c r="C168" s="467">
        <v>265000</v>
      </c>
      <c r="D168" s="437">
        <v>421110</v>
      </c>
      <c r="E168" s="448">
        <f>C168</f>
        <v>265000</v>
      </c>
      <c r="F168" s="448">
        <v>272081</v>
      </c>
      <c r="G168" s="437">
        <v>345000</v>
      </c>
      <c r="H168" s="437">
        <v>73907</v>
      </c>
      <c r="I168" s="596">
        <v>102187</v>
      </c>
      <c r="J168" s="766">
        <v>380000</v>
      </c>
      <c r="K168" s="766">
        <v>380000</v>
      </c>
      <c r="L168" s="766">
        <v>52435</v>
      </c>
      <c r="M168" s="813">
        <f>L168/K168</f>
        <v>0.13798684210526316</v>
      </c>
      <c r="N168" s="31"/>
      <c r="O168" s="10"/>
      <c r="P168" s="356"/>
      <c r="Q168" s="29"/>
      <c r="R168" s="16" t="s">
        <v>263</v>
      </c>
      <c r="T168" s="29"/>
      <c r="U168" s="29"/>
    </row>
    <row r="169" spans="2:21" ht="13.5" hidden="1">
      <c r="B169" s="476" t="s">
        <v>227</v>
      </c>
      <c r="C169" s="477"/>
      <c r="D169" s="411"/>
      <c r="E169" s="410"/>
      <c r="F169" s="410"/>
      <c r="G169" s="411"/>
      <c r="H169" s="411"/>
      <c r="I169" s="412"/>
      <c r="J169" s="754"/>
      <c r="K169" s="754"/>
      <c r="L169" s="754"/>
      <c r="M169" s="814" t="e">
        <f>L169/K169</f>
        <v>#DIV/0!</v>
      </c>
      <c r="N169" s="31"/>
      <c r="O169" s="10"/>
      <c r="P169" s="414"/>
      <c r="Q169" s="29"/>
      <c r="R169" s="29"/>
      <c r="T169" s="29"/>
      <c r="U169" s="29"/>
    </row>
    <row r="170" spans="2:21" ht="13.5">
      <c r="B170" s="476" t="s">
        <v>12</v>
      </c>
      <c r="C170" s="477"/>
      <c r="D170" s="411"/>
      <c r="E170" s="410"/>
      <c r="F170" s="410">
        <v>27276</v>
      </c>
      <c r="G170" s="411"/>
      <c r="H170" s="411"/>
      <c r="I170" s="412"/>
      <c r="J170" s="754"/>
      <c r="K170" s="754"/>
      <c r="L170" s="754"/>
      <c r="M170" s="818"/>
      <c r="N170" s="31"/>
      <c r="O170" s="10"/>
      <c r="P170" s="414"/>
      <c r="Q170" s="29"/>
      <c r="R170" s="29"/>
      <c r="T170" s="29"/>
      <c r="U170" s="29"/>
    </row>
    <row r="171" spans="2:21" ht="13.5">
      <c r="B171" s="559" t="s">
        <v>4</v>
      </c>
      <c r="C171" s="560">
        <v>954129</v>
      </c>
      <c r="D171" s="543">
        <v>899000</v>
      </c>
      <c r="E171" s="544">
        <v>956477</v>
      </c>
      <c r="F171" s="544">
        <v>956477</v>
      </c>
      <c r="G171" s="543">
        <v>1174688</v>
      </c>
      <c r="H171" s="543">
        <v>470951</v>
      </c>
      <c r="I171" s="543">
        <v>565142</v>
      </c>
      <c r="J171" s="767">
        <v>1249691</v>
      </c>
      <c r="K171" s="767">
        <v>1249691</v>
      </c>
      <c r="L171" s="767">
        <v>543620</v>
      </c>
      <c r="M171" s="815">
        <f>L171/K171</f>
        <v>0.43500353287332627</v>
      </c>
      <c r="N171" s="31"/>
      <c r="O171" s="10"/>
      <c r="P171" s="357"/>
      <c r="Q171" s="29"/>
      <c r="R171" s="29"/>
      <c r="T171" s="29"/>
      <c r="U171" s="29"/>
    </row>
    <row r="172" spans="2:21" ht="12.75" hidden="1">
      <c r="B172" s="574" t="s">
        <v>60</v>
      </c>
      <c r="C172" s="575">
        <v>2500</v>
      </c>
      <c r="D172" s="565">
        <v>2500</v>
      </c>
      <c r="E172" s="566">
        <f>C172</f>
        <v>2500</v>
      </c>
      <c r="F172" s="566">
        <v>2500</v>
      </c>
      <c r="G172" s="399"/>
      <c r="H172" s="399"/>
      <c r="I172" s="399"/>
      <c r="J172" s="770"/>
      <c r="K172" s="770"/>
      <c r="L172" s="770"/>
      <c r="M172" s="816"/>
      <c r="N172" s="31"/>
      <c r="O172" s="10"/>
      <c r="P172" s="357"/>
      <c r="Q172" s="29"/>
      <c r="R172" s="29"/>
      <c r="T172" s="29"/>
      <c r="U172" s="29"/>
    </row>
    <row r="173" spans="2:21" ht="13.5">
      <c r="B173" s="574" t="s">
        <v>329</v>
      </c>
      <c r="C173" s="575">
        <v>20000</v>
      </c>
      <c r="D173" s="565">
        <v>20000</v>
      </c>
      <c r="E173" s="566">
        <f>C173</f>
        <v>20000</v>
      </c>
      <c r="F173" s="566">
        <v>20000</v>
      </c>
      <c r="G173" s="565">
        <v>40000</v>
      </c>
      <c r="H173" s="565"/>
      <c r="I173" s="565">
        <v>28000</v>
      </c>
      <c r="J173" s="771">
        <v>40000</v>
      </c>
      <c r="K173" s="771">
        <v>40000</v>
      </c>
      <c r="L173" s="771">
        <v>10000</v>
      </c>
      <c r="M173" s="810">
        <f>L173/K173</f>
        <v>0.25</v>
      </c>
      <c r="N173" s="31"/>
      <c r="O173" s="10"/>
      <c r="P173" s="357"/>
      <c r="Q173" s="29"/>
      <c r="R173" s="16">
        <f>J173</f>
        <v>40000</v>
      </c>
      <c r="T173" s="29"/>
      <c r="U173" s="29"/>
    </row>
    <row r="174" spans="2:21" ht="13.5">
      <c r="B174" s="574" t="s">
        <v>330</v>
      </c>
      <c r="C174" s="575">
        <v>25000</v>
      </c>
      <c r="D174" s="565">
        <v>25000</v>
      </c>
      <c r="E174" s="566">
        <f>C174</f>
        <v>25000</v>
      </c>
      <c r="F174" s="566">
        <v>25000</v>
      </c>
      <c r="G174" s="565">
        <v>25000</v>
      </c>
      <c r="H174" s="565"/>
      <c r="I174" s="565"/>
      <c r="J174" s="771">
        <v>25000</v>
      </c>
      <c r="K174" s="771">
        <v>25000</v>
      </c>
      <c r="L174" s="771">
        <v>25000</v>
      </c>
      <c r="M174" s="810">
        <f>L174/K174</f>
        <v>1</v>
      </c>
      <c r="N174" s="31"/>
      <c r="O174" s="10"/>
      <c r="P174" s="357"/>
      <c r="Q174" s="29"/>
      <c r="R174" s="16">
        <f>J174</f>
        <v>25000</v>
      </c>
      <c r="T174" s="29"/>
      <c r="U174" s="29"/>
    </row>
    <row r="175" spans="2:21" ht="13.5" hidden="1">
      <c r="B175" s="574" t="s">
        <v>205</v>
      </c>
      <c r="C175" s="575"/>
      <c r="D175" s="565">
        <v>80000</v>
      </c>
      <c r="E175" s="439"/>
      <c r="F175" s="439"/>
      <c r="G175" s="399"/>
      <c r="H175" s="399"/>
      <c r="I175" s="399"/>
      <c r="J175" s="770"/>
      <c r="K175" s="770"/>
      <c r="L175" s="770"/>
      <c r="M175" s="810" t="e">
        <f>L175/K175</f>
        <v>#DIV/0!</v>
      </c>
      <c r="N175" s="31"/>
      <c r="O175" s="10"/>
      <c r="P175" s="357"/>
      <c r="Q175" s="29"/>
      <c r="R175" s="16"/>
      <c r="T175" s="29"/>
      <c r="U175" s="29"/>
    </row>
    <row r="176" spans="2:21" ht="13.5">
      <c r="B176" s="574" t="s">
        <v>331</v>
      </c>
      <c r="C176" s="575">
        <v>15000</v>
      </c>
      <c r="D176" s="565" t="s">
        <v>207</v>
      </c>
      <c r="E176" s="566">
        <f>C176</f>
        <v>15000</v>
      </c>
      <c r="F176" s="566">
        <v>15000</v>
      </c>
      <c r="G176" s="565">
        <v>20000</v>
      </c>
      <c r="H176" s="565"/>
      <c r="I176" s="565"/>
      <c r="J176" s="771">
        <v>30000</v>
      </c>
      <c r="K176" s="771">
        <v>30000</v>
      </c>
      <c r="L176" s="771">
        <v>0</v>
      </c>
      <c r="M176" s="810">
        <f>L176/K176</f>
        <v>0</v>
      </c>
      <c r="N176" s="31"/>
      <c r="O176" s="10"/>
      <c r="P176" s="357"/>
      <c r="Q176" s="29"/>
      <c r="R176" s="16">
        <f>J176</f>
        <v>30000</v>
      </c>
      <c r="T176" s="29"/>
      <c r="U176" s="29"/>
    </row>
    <row r="177" spans="2:21" ht="14.25" thickBot="1">
      <c r="B177" s="572" t="s">
        <v>332</v>
      </c>
      <c r="C177" s="573">
        <v>30000</v>
      </c>
      <c r="D177" s="565"/>
      <c r="E177" s="566">
        <f>C177</f>
        <v>30000</v>
      </c>
      <c r="F177" s="566">
        <v>30000</v>
      </c>
      <c r="G177" s="565">
        <v>20000</v>
      </c>
      <c r="H177" s="565"/>
      <c r="I177" s="565"/>
      <c r="J177" s="771">
        <v>20000</v>
      </c>
      <c r="K177" s="771">
        <v>20000</v>
      </c>
      <c r="L177" s="771">
        <v>0</v>
      </c>
      <c r="M177" s="817">
        <f>L177/K177</f>
        <v>0</v>
      </c>
      <c r="N177" s="31"/>
      <c r="O177" s="10"/>
      <c r="P177" s="359"/>
      <c r="Q177" s="29"/>
      <c r="R177" s="16">
        <f>J177</f>
        <v>20000</v>
      </c>
      <c r="T177" s="29"/>
      <c r="U177" s="29"/>
    </row>
    <row r="178" spans="2:21" ht="14.25" hidden="1" thickBot="1">
      <c r="B178" s="523" t="s">
        <v>209</v>
      </c>
      <c r="C178" s="524"/>
      <c r="D178" s="408">
        <v>12500</v>
      </c>
      <c r="E178" s="482"/>
      <c r="F178" s="482"/>
      <c r="G178" s="408"/>
      <c r="H178" s="408"/>
      <c r="I178" s="408"/>
      <c r="J178" s="761"/>
      <c r="K178" s="761"/>
      <c r="L178" s="761"/>
      <c r="M178" s="812"/>
      <c r="N178" s="31"/>
      <c r="O178" s="10"/>
      <c r="P178" s="355"/>
      <c r="T178" s="29"/>
      <c r="U178" s="29"/>
    </row>
    <row r="179" spans="1:21" s="11" customFormat="1" ht="14.25" thickBot="1">
      <c r="A179" s="124"/>
      <c r="B179" s="490" t="s">
        <v>5</v>
      </c>
      <c r="C179" s="173">
        <f aca="true" t="shared" si="16" ref="C179:J179">SUM(C168:C178)</f>
        <v>1311629</v>
      </c>
      <c r="D179" s="360">
        <f t="shared" si="16"/>
        <v>1460110</v>
      </c>
      <c r="E179" s="149">
        <f t="shared" si="16"/>
        <v>1313977</v>
      </c>
      <c r="F179" s="149">
        <f t="shared" si="16"/>
        <v>1348334</v>
      </c>
      <c r="G179" s="360">
        <f t="shared" si="16"/>
        <v>1624688</v>
      </c>
      <c r="H179" s="360">
        <f t="shared" si="16"/>
        <v>544858</v>
      </c>
      <c r="I179" s="360">
        <f t="shared" si="16"/>
        <v>695329</v>
      </c>
      <c r="J179" s="774">
        <f t="shared" si="16"/>
        <v>1744691</v>
      </c>
      <c r="K179" s="774">
        <f>SUM(K168:K178)</f>
        <v>1744691</v>
      </c>
      <c r="L179" s="774">
        <f>SUM(L168:L178)</f>
        <v>631055</v>
      </c>
      <c r="M179" s="774"/>
      <c r="N179" s="51"/>
      <c r="O179" s="83"/>
      <c r="P179" s="124"/>
      <c r="R179" s="510">
        <f>SUM(R173:R178)</f>
        <v>115000</v>
      </c>
      <c r="S179" s="500"/>
      <c r="T179" s="52"/>
      <c r="U179" s="52"/>
    </row>
    <row r="180" spans="1:21" s="11" customFormat="1" ht="9" customHeight="1" thickBot="1">
      <c r="A180" s="124"/>
      <c r="B180" s="137"/>
      <c r="C180" s="51"/>
      <c r="D180" s="51"/>
      <c r="E180" s="5"/>
      <c r="F180" s="5"/>
      <c r="G180" s="367"/>
      <c r="H180" s="367"/>
      <c r="I180" s="367"/>
      <c r="J180" s="609"/>
      <c r="K180" s="609"/>
      <c r="L180" s="609"/>
      <c r="M180" s="609"/>
      <c r="N180" s="51"/>
      <c r="O180" s="83"/>
      <c r="P180" s="124"/>
      <c r="S180" s="500"/>
      <c r="T180" s="52"/>
      <c r="U180" s="52"/>
    </row>
    <row r="181" spans="1:21" s="11" customFormat="1" ht="15" thickBot="1" thickTop="1">
      <c r="A181" s="124"/>
      <c r="B181" s="340" t="s">
        <v>169</v>
      </c>
      <c r="C181" s="341"/>
      <c r="D181" s="343">
        <f aca="true" t="shared" si="17" ref="D181:J181">D179-D165</f>
        <v>151681</v>
      </c>
      <c r="E181" s="343">
        <f t="shared" si="17"/>
        <v>0</v>
      </c>
      <c r="F181" s="343">
        <f t="shared" si="17"/>
        <v>175747</v>
      </c>
      <c r="G181" s="343">
        <f t="shared" si="17"/>
        <v>0</v>
      </c>
      <c r="H181" s="343">
        <f t="shared" si="17"/>
        <v>90732</v>
      </c>
      <c r="I181" s="343">
        <f t="shared" si="17"/>
        <v>114939</v>
      </c>
      <c r="J181" s="776">
        <f t="shared" si="17"/>
        <v>0</v>
      </c>
      <c r="K181" s="776">
        <f>K179-K165</f>
        <v>0</v>
      </c>
      <c r="L181" s="776">
        <f>L179-L165</f>
        <v>144876</v>
      </c>
      <c r="M181" s="776"/>
      <c r="N181" s="51"/>
      <c r="O181" s="83"/>
      <c r="P181" s="124"/>
      <c r="S181" s="500"/>
      <c r="T181" s="52"/>
      <c r="U181" s="52"/>
    </row>
    <row r="182" spans="1:21" s="11" customFormat="1" ht="14.25" thickTop="1">
      <c r="A182" s="124"/>
      <c r="B182" s="137"/>
      <c r="C182" s="51"/>
      <c r="D182" s="51"/>
      <c r="E182" s="5"/>
      <c r="F182" s="5"/>
      <c r="G182" s="367"/>
      <c r="H182" s="367"/>
      <c r="I182" s="367"/>
      <c r="J182" s="609"/>
      <c r="K182" s="85"/>
      <c r="L182" s="85"/>
      <c r="M182" s="85"/>
      <c r="N182" s="51"/>
      <c r="O182" s="83"/>
      <c r="P182" s="124"/>
      <c r="S182" s="500"/>
      <c r="T182" s="52"/>
      <c r="U182" s="52"/>
    </row>
    <row r="183" spans="1:21" s="6" customFormat="1" ht="18" thickBot="1">
      <c r="A183" s="63"/>
      <c r="B183" s="875" t="s">
        <v>62</v>
      </c>
      <c r="C183" s="875"/>
      <c r="D183" s="875"/>
      <c r="E183" s="875"/>
      <c r="F183" s="875"/>
      <c r="G183" s="875"/>
      <c r="H183" s="875"/>
      <c r="I183" s="875"/>
      <c r="J183" s="875"/>
      <c r="K183" s="875"/>
      <c r="L183" s="875"/>
      <c r="M183" s="875"/>
      <c r="N183" s="875"/>
      <c r="O183" s="875"/>
      <c r="P183" s="63"/>
      <c r="S183" s="7"/>
      <c r="T183" s="25"/>
      <c r="U183" s="25"/>
    </row>
    <row r="184" spans="1:19" s="25" customFormat="1" ht="27.75">
      <c r="A184" s="68"/>
      <c r="B184" s="454" t="s">
        <v>0</v>
      </c>
      <c r="C184" s="93" t="s">
        <v>299</v>
      </c>
      <c r="D184" s="350" t="s">
        <v>137</v>
      </c>
      <c r="E184" s="93" t="s">
        <v>299</v>
      </c>
      <c r="F184" s="350" t="s">
        <v>137</v>
      </c>
      <c r="G184" s="93" t="s">
        <v>299</v>
      </c>
      <c r="H184" s="350" t="s">
        <v>338</v>
      </c>
      <c r="I184" s="350" t="s">
        <v>338</v>
      </c>
      <c r="J184" s="749" t="s">
        <v>411</v>
      </c>
      <c r="K184" s="749" t="s">
        <v>412</v>
      </c>
      <c r="L184" s="794" t="s">
        <v>414</v>
      </c>
      <c r="M184" s="181" t="s">
        <v>415</v>
      </c>
      <c r="N184" s="1"/>
      <c r="O184" s="41"/>
      <c r="P184" s="351" t="s">
        <v>136</v>
      </c>
      <c r="S184" s="57"/>
    </row>
    <row r="185" spans="1:19" s="25" customFormat="1" ht="15.75" thickBot="1">
      <c r="A185" s="68"/>
      <c r="B185" s="455"/>
      <c r="C185" s="539">
        <v>2015</v>
      </c>
      <c r="D185" s="353">
        <v>2015</v>
      </c>
      <c r="E185" s="540">
        <v>2016</v>
      </c>
      <c r="F185" s="540">
        <v>2016</v>
      </c>
      <c r="G185" s="353">
        <v>2017</v>
      </c>
      <c r="H185" s="418" t="s">
        <v>339</v>
      </c>
      <c r="I185" s="418" t="s">
        <v>359</v>
      </c>
      <c r="J185" s="395" t="s">
        <v>300</v>
      </c>
      <c r="K185" s="395" t="s">
        <v>300</v>
      </c>
      <c r="L185" s="866" t="s">
        <v>436</v>
      </c>
      <c r="M185" s="182"/>
      <c r="N185" s="1"/>
      <c r="O185" s="41"/>
      <c r="P185" s="355"/>
      <c r="S185" s="57"/>
    </row>
    <row r="186" spans="1:19" s="25" customFormat="1" ht="13.5">
      <c r="A186" s="68"/>
      <c r="B186" s="476" t="s">
        <v>1</v>
      </c>
      <c r="C186" s="477">
        <v>10000</v>
      </c>
      <c r="D186" s="411">
        <v>0</v>
      </c>
      <c r="E186" s="410">
        <f>C186</f>
        <v>10000</v>
      </c>
      <c r="F186" s="410">
        <v>0</v>
      </c>
      <c r="G186" s="411">
        <v>5000</v>
      </c>
      <c r="H186" s="411">
        <v>0</v>
      </c>
      <c r="I186" s="411"/>
      <c r="J186" s="754">
        <v>5000</v>
      </c>
      <c r="K186" s="754">
        <v>5000</v>
      </c>
      <c r="L186" s="754">
        <v>0</v>
      </c>
      <c r="M186" s="813">
        <f>L186/K186</f>
        <v>0</v>
      </c>
      <c r="N186" s="31"/>
      <c r="O186" s="10"/>
      <c r="P186" s="374"/>
      <c r="S186" s="57"/>
    </row>
    <row r="187" spans="1:19" s="25" customFormat="1" ht="13.5">
      <c r="A187" s="68"/>
      <c r="B187" s="473" t="s">
        <v>8</v>
      </c>
      <c r="C187" s="468">
        <v>40000</v>
      </c>
      <c r="D187" s="398">
        <v>12723</v>
      </c>
      <c r="E187" s="397">
        <f>C187</f>
        <v>40000</v>
      </c>
      <c r="F187" s="397">
        <v>71068</v>
      </c>
      <c r="G187" s="398">
        <v>20000</v>
      </c>
      <c r="H187" s="398">
        <v>12003</v>
      </c>
      <c r="I187" s="398">
        <v>1728</v>
      </c>
      <c r="J187" s="757">
        <v>20000</v>
      </c>
      <c r="K187" s="757">
        <v>20000</v>
      </c>
      <c r="L187" s="757">
        <f>13992-12732</f>
        <v>1260</v>
      </c>
      <c r="M187" s="814">
        <f>L187/K187</f>
        <v>0.063</v>
      </c>
      <c r="N187" s="31"/>
      <c r="O187" s="10"/>
      <c r="P187" s="375"/>
      <c r="S187" s="57"/>
    </row>
    <row r="188" spans="1:19" s="25" customFormat="1" ht="13.5">
      <c r="A188" s="68"/>
      <c r="B188" s="473" t="s">
        <v>9</v>
      </c>
      <c r="C188" s="468">
        <v>1000</v>
      </c>
      <c r="D188" s="398">
        <v>115</v>
      </c>
      <c r="E188" s="397">
        <f>C188</f>
        <v>1000</v>
      </c>
      <c r="F188" s="397">
        <v>64</v>
      </c>
      <c r="G188" s="398">
        <v>5000</v>
      </c>
      <c r="H188" s="398">
        <v>3630</v>
      </c>
      <c r="I188" s="398">
        <v>3630</v>
      </c>
      <c r="J188" s="757">
        <v>5000</v>
      </c>
      <c r="K188" s="757">
        <v>5000</v>
      </c>
      <c r="L188" s="757">
        <v>0</v>
      </c>
      <c r="M188" s="814">
        <f aca="true" t="shared" si="18" ref="M188:M193">L188/K188</f>
        <v>0</v>
      </c>
      <c r="N188" s="31"/>
      <c r="O188" s="10"/>
      <c r="P188" s="375"/>
      <c r="S188" s="57"/>
    </row>
    <row r="189" spans="1:19" s="25" customFormat="1" ht="13.5">
      <c r="A189" s="68"/>
      <c r="B189" s="473" t="s">
        <v>16</v>
      </c>
      <c r="C189" s="468">
        <v>95000</v>
      </c>
      <c r="D189" s="398"/>
      <c r="E189" s="397">
        <f>C189</f>
        <v>95000</v>
      </c>
      <c r="F189" s="397">
        <v>3014</v>
      </c>
      <c r="G189" s="398">
        <v>22000</v>
      </c>
      <c r="H189" s="398">
        <v>3988</v>
      </c>
      <c r="I189" s="398">
        <v>6086</v>
      </c>
      <c r="J189" s="757">
        <f>22000-2000</f>
        <v>20000</v>
      </c>
      <c r="K189" s="757">
        <f>22000-2000</f>
        <v>20000</v>
      </c>
      <c r="L189" s="757">
        <f>96247-L191-L192-L193+12732</f>
        <v>10261</v>
      </c>
      <c r="M189" s="814">
        <f t="shared" si="18"/>
        <v>0.51305</v>
      </c>
      <c r="N189" s="31"/>
      <c r="O189" s="10"/>
      <c r="P189" s="375"/>
      <c r="S189" s="57"/>
    </row>
    <row r="190" spans="1:19" s="25" customFormat="1" ht="13.5">
      <c r="A190" s="68"/>
      <c r="B190" s="561" t="s">
        <v>10</v>
      </c>
      <c r="C190" s="562">
        <v>612871</v>
      </c>
      <c r="D190" s="547">
        <v>618557</v>
      </c>
      <c r="E190" s="548">
        <v>615136</v>
      </c>
      <c r="F190" s="548">
        <v>562379</v>
      </c>
      <c r="G190" s="547">
        <v>846137</v>
      </c>
      <c r="H190" s="547">
        <v>342381</v>
      </c>
      <c r="I190" s="547">
        <v>413867</v>
      </c>
      <c r="J190" s="784">
        <v>1108312</v>
      </c>
      <c r="K190" s="784">
        <v>1108312</v>
      </c>
      <c r="L190" s="784">
        <v>391500</v>
      </c>
      <c r="M190" s="820">
        <f t="shared" si="18"/>
        <v>0.353239881910509</v>
      </c>
      <c r="N190" s="31"/>
      <c r="O190" s="10"/>
      <c r="P190" s="357"/>
      <c r="Q190" s="124" t="s">
        <v>174</v>
      </c>
      <c r="S190" s="57"/>
    </row>
    <row r="191" spans="1:19" s="25" customFormat="1" ht="13.5">
      <c r="A191" s="68">
        <v>1351</v>
      </c>
      <c r="B191" s="473" t="s">
        <v>65</v>
      </c>
      <c r="C191" s="468">
        <v>90000</v>
      </c>
      <c r="D191" s="398">
        <v>70399</v>
      </c>
      <c r="E191" s="397">
        <f>C191</f>
        <v>90000</v>
      </c>
      <c r="F191" s="397">
        <v>85637</v>
      </c>
      <c r="G191" s="398">
        <v>90000</v>
      </c>
      <c r="H191" s="398">
        <v>8800</v>
      </c>
      <c r="I191" s="398">
        <v>8800</v>
      </c>
      <c r="J191" s="757">
        <v>80000</v>
      </c>
      <c r="K191" s="757">
        <v>80000</v>
      </c>
      <c r="L191" s="757">
        <v>8500</v>
      </c>
      <c r="M191" s="814">
        <f t="shared" si="18"/>
        <v>0.10625</v>
      </c>
      <c r="N191" s="31"/>
      <c r="O191" s="10"/>
      <c r="P191" s="357"/>
      <c r="Q191" s="57">
        <f>J191</f>
        <v>80000</v>
      </c>
      <c r="S191" s="57"/>
    </row>
    <row r="192" spans="1:19" s="25" customFormat="1" ht="13.5">
      <c r="A192" s="68">
        <v>1350</v>
      </c>
      <c r="B192" s="473" t="s">
        <v>210</v>
      </c>
      <c r="C192" s="468">
        <v>30000</v>
      </c>
      <c r="D192" s="398">
        <v>16000</v>
      </c>
      <c r="E192" s="397">
        <f>C192</f>
        <v>30000</v>
      </c>
      <c r="F192" s="397">
        <v>23774</v>
      </c>
      <c r="G192" s="398">
        <v>30000</v>
      </c>
      <c r="H192" s="398">
        <v>16444</v>
      </c>
      <c r="I192" s="398">
        <v>16444</v>
      </c>
      <c r="J192" s="757">
        <v>30000</v>
      </c>
      <c r="K192" s="757">
        <v>30000</v>
      </c>
      <c r="L192" s="757">
        <v>7283</v>
      </c>
      <c r="M192" s="814">
        <f t="shared" si="18"/>
        <v>0.24276666666666666</v>
      </c>
      <c r="N192" s="31"/>
      <c r="O192" s="10"/>
      <c r="P192" s="357"/>
      <c r="Q192" s="57">
        <f>C192</f>
        <v>30000</v>
      </c>
      <c r="S192" s="57"/>
    </row>
    <row r="193" spans="1:19" s="25" customFormat="1" ht="14.25" thickBot="1">
      <c r="A193" s="68">
        <v>1352</v>
      </c>
      <c r="B193" s="493" t="s">
        <v>63</v>
      </c>
      <c r="C193" s="479">
        <v>260000</v>
      </c>
      <c r="D193" s="492">
        <v>110000</v>
      </c>
      <c r="E193" s="422">
        <f>C193</f>
        <v>260000</v>
      </c>
      <c r="F193" s="538">
        <v>236919</v>
      </c>
      <c r="G193" s="492">
        <v>200000</v>
      </c>
      <c r="H193" s="492">
        <v>49530</v>
      </c>
      <c r="I193" s="492">
        <v>62482</v>
      </c>
      <c r="J193" s="782">
        <v>180000</v>
      </c>
      <c r="K193" s="782">
        <v>180000</v>
      </c>
      <c r="L193" s="782">
        <v>82935</v>
      </c>
      <c r="M193" s="819">
        <f t="shared" si="18"/>
        <v>0.46075</v>
      </c>
      <c r="N193" s="31"/>
      <c r="O193" s="10"/>
      <c r="P193" s="359"/>
      <c r="Q193" s="57">
        <f>J193</f>
        <v>180000</v>
      </c>
      <c r="S193" s="57"/>
    </row>
    <row r="194" spans="1:19" s="25" customFormat="1" ht="14.25" thickBot="1">
      <c r="A194" s="68"/>
      <c r="B194" s="475" t="s">
        <v>2</v>
      </c>
      <c r="C194" s="173">
        <f aca="true" t="shared" si="19" ref="C194:J194">SUM(C186:C193)</f>
        <v>1138871</v>
      </c>
      <c r="D194" s="360">
        <f t="shared" si="19"/>
        <v>827794</v>
      </c>
      <c r="E194" s="149">
        <f t="shared" si="19"/>
        <v>1141136</v>
      </c>
      <c r="F194" s="149">
        <f t="shared" si="19"/>
        <v>982855</v>
      </c>
      <c r="G194" s="360">
        <f t="shared" si="19"/>
        <v>1218137</v>
      </c>
      <c r="H194" s="360">
        <f t="shared" si="19"/>
        <v>436776</v>
      </c>
      <c r="I194" s="360">
        <f t="shared" si="19"/>
        <v>513037</v>
      </c>
      <c r="J194" s="774">
        <f t="shared" si="19"/>
        <v>1448312</v>
      </c>
      <c r="K194" s="774">
        <f>SUM(K186:K193)</f>
        <v>1448312</v>
      </c>
      <c r="L194" s="774">
        <f>SUM(L186:L193)</f>
        <v>501739</v>
      </c>
      <c r="M194" s="774" t="s">
        <v>173</v>
      </c>
      <c r="N194" s="51"/>
      <c r="O194" s="83"/>
      <c r="P194" s="68"/>
      <c r="Q194" s="509">
        <f>SUM(Q191:Q193)</f>
        <v>290000</v>
      </c>
      <c r="S194" s="57"/>
    </row>
    <row r="195" spans="1:19" s="29" customFormat="1" ht="15.75" thickBot="1">
      <c r="A195" s="278"/>
      <c r="B195" s="21"/>
      <c r="C195" s="23"/>
      <c r="D195" s="362"/>
      <c r="E195" s="22"/>
      <c r="F195" s="22"/>
      <c r="G195" s="362"/>
      <c r="H195" s="362"/>
      <c r="I195" s="362"/>
      <c r="J195" s="777"/>
      <c r="K195" s="777"/>
      <c r="L195" s="777"/>
      <c r="M195" s="777"/>
      <c r="N195" s="31"/>
      <c r="O195" s="10"/>
      <c r="P195" s="278"/>
      <c r="S195" s="134"/>
    </row>
    <row r="196" spans="1:19" s="29" customFormat="1" ht="15.75" thickBot="1">
      <c r="A196" s="278"/>
      <c r="B196" s="24" t="s">
        <v>3</v>
      </c>
      <c r="C196" s="23"/>
      <c r="D196" s="362"/>
      <c r="E196" s="22"/>
      <c r="F196" s="22"/>
      <c r="G196" s="362"/>
      <c r="H196" s="362"/>
      <c r="I196" s="362"/>
      <c r="J196" s="777"/>
      <c r="K196" s="777"/>
      <c r="L196" s="777"/>
      <c r="M196" s="777"/>
      <c r="N196" s="31"/>
      <c r="O196" s="10"/>
      <c r="P196" s="278"/>
      <c r="R196" s="16" t="s">
        <v>263</v>
      </c>
      <c r="S196" s="134"/>
    </row>
    <row r="197" spans="1:19" s="29" customFormat="1" ht="13.5">
      <c r="A197" s="278"/>
      <c r="B197" s="568" t="s">
        <v>333</v>
      </c>
      <c r="C197" s="569">
        <v>30000</v>
      </c>
      <c r="D197" s="570">
        <v>16000</v>
      </c>
      <c r="E197" s="571">
        <f>C197</f>
        <v>30000</v>
      </c>
      <c r="F197" s="571">
        <v>30000</v>
      </c>
      <c r="G197" s="570">
        <v>30000</v>
      </c>
      <c r="H197" s="570">
        <v>10000</v>
      </c>
      <c r="I197" s="570">
        <v>20000</v>
      </c>
      <c r="J197" s="785">
        <v>30000</v>
      </c>
      <c r="K197" s="785">
        <v>30000</v>
      </c>
      <c r="L197" s="785">
        <v>30000</v>
      </c>
      <c r="M197" s="809">
        <f>L197/K197</f>
        <v>1</v>
      </c>
      <c r="N197" s="31"/>
      <c r="O197" s="10"/>
      <c r="P197" s="376"/>
      <c r="R197" s="16">
        <f>J197</f>
        <v>30000</v>
      </c>
      <c r="S197" s="134"/>
    </row>
    <row r="198" spans="1:19" s="29" customFormat="1" ht="13.5">
      <c r="A198" s="278"/>
      <c r="B198" s="572" t="s">
        <v>334</v>
      </c>
      <c r="C198" s="573">
        <v>90000</v>
      </c>
      <c r="D198" s="565">
        <v>70399</v>
      </c>
      <c r="E198" s="566">
        <f>C198</f>
        <v>90000</v>
      </c>
      <c r="F198" s="566">
        <v>90000</v>
      </c>
      <c r="G198" s="565">
        <v>90000</v>
      </c>
      <c r="H198" s="565">
        <v>0</v>
      </c>
      <c r="I198" s="565">
        <v>10000</v>
      </c>
      <c r="J198" s="771">
        <v>80000</v>
      </c>
      <c r="K198" s="771">
        <v>80000</v>
      </c>
      <c r="L198" s="771">
        <v>10000</v>
      </c>
      <c r="M198" s="810">
        <f>L198/K198</f>
        <v>0.125</v>
      </c>
      <c r="N198" s="31"/>
      <c r="O198" s="10"/>
      <c r="P198" s="364"/>
      <c r="R198" s="16">
        <f>J198</f>
        <v>80000</v>
      </c>
      <c r="S198" s="134"/>
    </row>
    <row r="199" spans="1:19" s="29" customFormat="1" ht="13.5">
      <c r="A199" s="278"/>
      <c r="B199" s="572" t="s">
        <v>335</v>
      </c>
      <c r="C199" s="573">
        <v>260000</v>
      </c>
      <c r="D199" s="565">
        <v>110000</v>
      </c>
      <c r="E199" s="566">
        <f>C199</f>
        <v>260000</v>
      </c>
      <c r="F199" s="566">
        <v>260000</v>
      </c>
      <c r="G199" s="565">
        <v>200000</v>
      </c>
      <c r="H199" s="565">
        <v>20000</v>
      </c>
      <c r="I199" s="565">
        <v>20000</v>
      </c>
      <c r="J199" s="771">
        <v>180000</v>
      </c>
      <c r="K199" s="771">
        <v>180000</v>
      </c>
      <c r="L199" s="771">
        <v>90000</v>
      </c>
      <c r="M199" s="810">
        <f>L199/K199</f>
        <v>0.5</v>
      </c>
      <c r="N199" s="31"/>
      <c r="O199" s="10"/>
      <c r="P199" s="364"/>
      <c r="R199" s="16">
        <f>J199</f>
        <v>180000</v>
      </c>
      <c r="S199" s="134"/>
    </row>
    <row r="200" spans="1:19" s="29" customFormat="1" ht="14.25" thickBot="1">
      <c r="A200" s="278"/>
      <c r="B200" s="495" t="s">
        <v>4</v>
      </c>
      <c r="C200" s="563">
        <v>758871</v>
      </c>
      <c r="D200" s="555">
        <v>735000</v>
      </c>
      <c r="E200" s="556">
        <v>761136</v>
      </c>
      <c r="F200" s="556">
        <v>761136</v>
      </c>
      <c r="G200" s="555">
        <v>898137</v>
      </c>
      <c r="H200" s="564">
        <v>370607</v>
      </c>
      <c r="I200" s="556">
        <v>444730</v>
      </c>
      <c r="J200" s="781">
        <v>1158312</v>
      </c>
      <c r="K200" s="781">
        <v>1158312</v>
      </c>
      <c r="L200" s="781">
        <v>473465</v>
      </c>
      <c r="M200" s="811">
        <f>L200/K200</f>
        <v>0.4087542907265055</v>
      </c>
      <c r="N200" s="31"/>
      <c r="O200" s="10"/>
      <c r="P200" s="646"/>
      <c r="R200" s="16"/>
      <c r="S200" s="134"/>
    </row>
    <row r="201" spans="1:19" s="29" customFormat="1" ht="14.25" thickBot="1">
      <c r="A201" s="278"/>
      <c r="B201" s="490" t="s">
        <v>5</v>
      </c>
      <c r="C201" s="173">
        <f aca="true" t="shared" si="20" ref="C201:J201">SUM(C197:C200)</f>
        <v>1138871</v>
      </c>
      <c r="D201" s="360">
        <f t="shared" si="20"/>
        <v>931399</v>
      </c>
      <c r="E201" s="149">
        <f t="shared" si="20"/>
        <v>1141136</v>
      </c>
      <c r="F201" s="149">
        <f t="shared" si="20"/>
        <v>1141136</v>
      </c>
      <c r="G201" s="360">
        <f t="shared" si="20"/>
        <v>1218137</v>
      </c>
      <c r="H201" s="360">
        <f t="shared" si="20"/>
        <v>400607</v>
      </c>
      <c r="I201" s="360">
        <f t="shared" si="20"/>
        <v>494730</v>
      </c>
      <c r="J201" s="774">
        <f t="shared" si="20"/>
        <v>1448312</v>
      </c>
      <c r="K201" s="774">
        <f>SUM(K197:K200)</f>
        <v>1448312</v>
      </c>
      <c r="L201" s="774">
        <f>SUM(L197:L200)</f>
        <v>603465</v>
      </c>
      <c r="M201" s="774"/>
      <c r="N201" s="51"/>
      <c r="O201" s="83"/>
      <c r="P201" s="278"/>
      <c r="R201" s="510">
        <f>SUM(R197:R200)</f>
        <v>290000</v>
      </c>
      <c r="S201" s="134"/>
    </row>
    <row r="202" spans="1:19" s="29" customFormat="1" ht="7.5" customHeight="1" thickBot="1">
      <c r="A202" s="278"/>
      <c r="B202" s="68"/>
      <c r="C202" s="68"/>
      <c r="D202" s="344"/>
      <c r="E202" s="68"/>
      <c r="F202" s="68"/>
      <c r="G202" s="344"/>
      <c r="H202" s="344"/>
      <c r="I202" s="344"/>
      <c r="J202" s="619"/>
      <c r="K202" s="619"/>
      <c r="L202" s="619"/>
      <c r="M202" s="619"/>
      <c r="P202" s="278"/>
      <c r="S202" s="134"/>
    </row>
    <row r="203" spans="1:19" s="29" customFormat="1" ht="15" thickBot="1" thickTop="1">
      <c r="A203" s="278"/>
      <c r="B203" s="340" t="s">
        <v>224</v>
      </c>
      <c r="C203" s="341"/>
      <c r="D203" s="343">
        <f aca="true" t="shared" si="21" ref="D203:J203">D201-D194</f>
        <v>103605</v>
      </c>
      <c r="E203" s="343">
        <f t="shared" si="21"/>
        <v>0</v>
      </c>
      <c r="F203" s="343">
        <f t="shared" si="21"/>
        <v>158281</v>
      </c>
      <c r="G203" s="343">
        <f t="shared" si="21"/>
        <v>0</v>
      </c>
      <c r="H203" s="343">
        <f t="shared" si="21"/>
        <v>-36169</v>
      </c>
      <c r="I203" s="343">
        <f t="shared" si="21"/>
        <v>-18307</v>
      </c>
      <c r="J203" s="776">
        <f t="shared" si="21"/>
        <v>0</v>
      </c>
      <c r="K203" s="776">
        <f>K201-K194</f>
        <v>0</v>
      </c>
      <c r="L203" s="776">
        <f>L201-L194</f>
        <v>101726</v>
      </c>
      <c r="M203" s="776"/>
      <c r="P203" s="278"/>
      <c r="S203" s="134"/>
    </row>
    <row r="204" spans="1:19" s="29" customFormat="1" ht="10.5" customHeight="1" thickBot="1" thickTop="1">
      <c r="A204" s="278"/>
      <c r="B204" s="68"/>
      <c r="C204" s="68"/>
      <c r="D204" s="68"/>
      <c r="E204" s="68"/>
      <c r="F204" s="68"/>
      <c r="G204" s="344"/>
      <c r="H204" s="344"/>
      <c r="I204" s="344"/>
      <c r="J204" s="619"/>
      <c r="K204" s="619"/>
      <c r="L204" s="619"/>
      <c r="M204" s="619"/>
      <c r="P204" s="278"/>
      <c r="S204" s="134"/>
    </row>
    <row r="205" spans="1:19" s="29" customFormat="1" ht="15" thickBot="1" thickTop="1">
      <c r="A205" s="278"/>
      <c r="B205" s="340" t="s">
        <v>361</v>
      </c>
      <c r="C205" s="341"/>
      <c r="D205" s="343">
        <f aca="true" t="shared" si="22" ref="D205:J205">D203+D181+D147+D122</f>
        <v>233544</v>
      </c>
      <c r="E205" s="343">
        <f t="shared" si="22"/>
        <v>0</v>
      </c>
      <c r="F205" s="343">
        <f t="shared" si="22"/>
        <v>472042</v>
      </c>
      <c r="G205" s="343">
        <f t="shared" si="22"/>
        <v>0</v>
      </c>
      <c r="H205" s="343">
        <f t="shared" si="22"/>
        <v>-208</v>
      </c>
      <c r="I205" s="343">
        <f t="shared" si="22"/>
        <v>339693</v>
      </c>
      <c r="J205" s="787">
        <f t="shared" si="22"/>
        <v>0</v>
      </c>
      <c r="K205" s="787">
        <f>K203+K181+K147+K122</f>
        <v>0</v>
      </c>
      <c r="L205" s="787">
        <f>L203+L181+L147+L122</f>
        <v>680097</v>
      </c>
      <c r="M205" s="787"/>
      <c r="P205" s="278"/>
      <c r="Q205" s="366" t="s">
        <v>264</v>
      </c>
      <c r="R205" s="503">
        <f>R201+R179+R120</f>
        <v>2765000</v>
      </c>
      <c r="S205" s="134"/>
    </row>
    <row r="206" spans="1:19" s="29" customFormat="1" ht="14.25" thickBot="1" thickTop="1">
      <c r="A206" s="278"/>
      <c r="B206" s="68"/>
      <c r="C206" s="68"/>
      <c r="D206" s="68"/>
      <c r="E206" s="68"/>
      <c r="F206" s="68"/>
      <c r="G206" s="344"/>
      <c r="H206" s="344"/>
      <c r="I206" s="344"/>
      <c r="J206" s="619"/>
      <c r="K206" s="786"/>
      <c r="L206" s="786"/>
      <c r="M206" s="786"/>
      <c r="P206" s="278"/>
      <c r="S206" s="134"/>
    </row>
    <row r="207" spans="1:19" s="29" customFormat="1" ht="12.75">
      <c r="A207" s="278"/>
      <c r="B207" s="650"/>
      <c r="C207" s="651"/>
      <c r="D207" s="651"/>
      <c r="E207" s="652" t="s">
        <v>354</v>
      </c>
      <c r="F207" s="653" t="s">
        <v>355</v>
      </c>
      <c r="G207" s="652" t="s">
        <v>353</v>
      </c>
      <c r="H207" s="652"/>
      <c r="I207" s="654" t="s">
        <v>213</v>
      </c>
      <c r="J207" s="655" t="s">
        <v>316</v>
      </c>
      <c r="K207" s="655" t="s">
        <v>416</v>
      </c>
      <c r="L207" s="655" t="s">
        <v>417</v>
      </c>
      <c r="M207" s="655"/>
      <c r="N207" s="656"/>
      <c r="O207" s="656"/>
      <c r="P207" s="657" t="s">
        <v>289</v>
      </c>
      <c r="S207" s="134"/>
    </row>
    <row r="208" spans="1:19" s="29" customFormat="1" ht="12.75">
      <c r="A208" s="278"/>
      <c r="B208" s="658" t="s">
        <v>214</v>
      </c>
      <c r="C208" s="659"/>
      <c r="D208" s="659"/>
      <c r="E208" s="660">
        <f>E200+E171+E144+E71+E69</f>
        <v>9907866</v>
      </c>
      <c r="F208" s="660">
        <f>F200+F171+F144+F71+F69</f>
        <v>9877604</v>
      </c>
      <c r="G208" s="660">
        <f>G200+G171+G144+G71+G69</f>
        <v>10779137</v>
      </c>
      <c r="H208" s="661"/>
      <c r="I208" s="660">
        <f>I200+I171+I144+I71</f>
        <v>5289060</v>
      </c>
      <c r="J208" s="788">
        <f>J200+J171+J144+J71</f>
        <v>12033774</v>
      </c>
      <c r="K208" s="788">
        <f>K200+K171+K144+K71</f>
        <v>12683774</v>
      </c>
      <c r="L208" s="788">
        <f>L200+L171+L144+L71</f>
        <v>5218393</v>
      </c>
      <c r="M208" s="788"/>
      <c r="N208" s="662"/>
      <c r="O208" s="662"/>
      <c r="P208" s="663">
        <f>J208/G208</f>
        <v>1.116394939594886</v>
      </c>
      <c r="S208" s="134"/>
    </row>
    <row r="209" spans="1:19" s="29" customFormat="1" ht="12.75">
      <c r="A209" s="278"/>
      <c r="B209" s="658" t="s">
        <v>336</v>
      </c>
      <c r="C209" s="659"/>
      <c r="D209" s="659"/>
      <c r="E209" s="660"/>
      <c r="F209" s="660">
        <f>F199+F198+F197+F177+F176+F174+F173+F172+F103+F101+F99+F97+F96+F94+F91+F90+F92+F88+F86+F85+F84+F83+F81+F79+F72</f>
        <v>2920045</v>
      </c>
      <c r="G209" s="660">
        <f>G199+G198+G197+G177+G176+G174+G173+G108+G107+G103+G102+G101+G99+G98+G97+G95+G92+G91+G90+G88+G86+G85+G84+G83+G81+G78+G72+G94</f>
        <v>2935500</v>
      </c>
      <c r="H209" s="661"/>
      <c r="I209" s="660">
        <f>I199+I198+I197+I177+I176+I174+I173+I108+I107+I103+I102+I101+I99+I98+I97+I95+I92+I91+I90+I88+I86+I85+I84+I83+I81+I78+I72+I94</f>
        <v>766000</v>
      </c>
      <c r="J209" s="789">
        <f>R205</f>
        <v>2765000</v>
      </c>
      <c r="K209" s="789">
        <f>K199+K198+K197+K177+K176+K174+K173+K112+K111+K110+K109+K108+K103+K102+K101+K99+K98+K97+K95+K94+K92+K91+K90+K88+K86+K85+K84+K83+K81+K78+K72</f>
        <v>2765000</v>
      </c>
      <c r="L209" s="789">
        <f>L199+L198+L197+L177+L176+L174+L173+L112+L111+L110+L109+L108+L103+L102+L101+L99+L98+L97+L95+L94+L92+L91+L90+L88+L86+L85+L84+L83+L81+L78+L72</f>
        <v>655000</v>
      </c>
      <c r="M209" s="789"/>
      <c r="N209" s="662"/>
      <c r="O209" s="662"/>
      <c r="P209" s="663">
        <f>J209/G209</f>
        <v>0.9419179015499914</v>
      </c>
      <c r="S209" s="134"/>
    </row>
    <row r="210" spans="1:19" s="29" customFormat="1" ht="12.75">
      <c r="A210" s="278"/>
      <c r="B210" s="696" t="s">
        <v>368</v>
      </c>
      <c r="C210" s="697"/>
      <c r="D210" s="697"/>
      <c r="E210" s="698">
        <f>SUM(E208:E209)</f>
        <v>9907866</v>
      </c>
      <c r="F210" s="698">
        <f>SUM(F208:F209)</f>
        <v>12797649</v>
      </c>
      <c r="G210" s="698">
        <f>SUM(G208:G209)</f>
        <v>13714637</v>
      </c>
      <c r="H210" s="699"/>
      <c r="I210" s="698">
        <f>SUM(I208:I209)</f>
        <v>6055060</v>
      </c>
      <c r="J210" s="790">
        <f>SUM(J208:J209)</f>
        <v>14798774</v>
      </c>
      <c r="K210" s="790">
        <f>SUM(K208:K209)</f>
        <v>15448774</v>
      </c>
      <c r="L210" s="790">
        <f>SUM(L208:L209)</f>
        <v>5873393</v>
      </c>
      <c r="M210" s="790"/>
      <c r="N210" s="700"/>
      <c r="O210" s="700"/>
      <c r="P210" s="701">
        <f>J210/G210</f>
        <v>1.0790496314266285</v>
      </c>
      <c r="S210" s="134"/>
    </row>
    <row r="211" spans="2:21" ht="12.75">
      <c r="B211" s="664" t="s">
        <v>215</v>
      </c>
      <c r="C211" s="665"/>
      <c r="D211" s="665"/>
      <c r="E211" s="666">
        <f>E190+E164+E136+E15</f>
        <v>5698869</v>
      </c>
      <c r="F211" s="666">
        <f>F190+F164+F136+F15</f>
        <v>5516606</v>
      </c>
      <c r="G211" s="666">
        <f>G190+G164+G136+G15</f>
        <v>6865165</v>
      </c>
      <c r="H211" s="667"/>
      <c r="I211" s="666">
        <f>I190+I164+I136+I15</f>
        <v>3077368</v>
      </c>
      <c r="J211" s="791">
        <f>J190+J164+J136+J15</f>
        <v>8300923</v>
      </c>
      <c r="K211" s="791">
        <f>K190+K164+K136+K15</f>
        <v>8300923</v>
      </c>
      <c r="L211" s="791">
        <f>L190+L164+L136+L15</f>
        <v>2936377</v>
      </c>
      <c r="M211" s="791"/>
      <c r="N211" s="668"/>
      <c r="O211" s="668"/>
      <c r="P211" s="663">
        <f>J211/G211</f>
        <v>1.2091367068380732</v>
      </c>
      <c r="T211" s="29"/>
      <c r="U211" s="29"/>
    </row>
    <row r="212" spans="2:21" ht="12.75">
      <c r="B212" s="669"/>
      <c r="C212" s="670"/>
      <c r="D212" s="670"/>
      <c r="E212" s="670"/>
      <c r="F212" s="670" t="s">
        <v>173</v>
      </c>
      <c r="G212" s="671"/>
      <c r="H212" s="671"/>
      <c r="I212" s="671"/>
      <c r="J212" s="792"/>
      <c r="K212" s="792"/>
      <c r="L212" s="792"/>
      <c r="M212" s="792"/>
      <c r="N212" s="670"/>
      <c r="O212" s="670"/>
      <c r="P212" s="672"/>
      <c r="T212" s="29"/>
      <c r="U212" s="29"/>
    </row>
    <row r="213" spans="2:21" ht="12.75">
      <c r="B213" s="658" t="s">
        <v>357</v>
      </c>
      <c r="C213" s="670"/>
      <c r="D213" s="670"/>
      <c r="E213" s="667">
        <f>E194+E165+E137+E63</f>
        <v>16297462</v>
      </c>
      <c r="F213" s="667">
        <f>F194+F165+F137+F63</f>
        <v>16002427</v>
      </c>
      <c r="G213" s="667">
        <f>G194+G165+G137+G63</f>
        <v>17513237</v>
      </c>
      <c r="H213" s="671"/>
      <c r="I213" s="667">
        <f>I194+I165+I137+I63</f>
        <v>7644189</v>
      </c>
      <c r="J213" s="792">
        <f>J194+J165+J137+J63</f>
        <v>18189874</v>
      </c>
      <c r="K213" s="792">
        <f>K194+K165+K137+K63</f>
        <v>19349874</v>
      </c>
      <c r="L213" s="792">
        <f>L194+L165+L137+L63</f>
        <v>7148963</v>
      </c>
      <c r="M213" s="792"/>
      <c r="N213" s="670"/>
      <c r="O213" s="670"/>
      <c r="P213" s="672"/>
      <c r="T213" s="29"/>
      <c r="U213" s="29"/>
    </row>
    <row r="214" spans="2:16" ht="13.5" thickBot="1">
      <c r="B214" s="673" t="s">
        <v>358</v>
      </c>
      <c r="C214" s="674"/>
      <c r="D214" s="674"/>
      <c r="E214" s="675">
        <f>E201+E179+E145+E120</f>
        <v>16297462</v>
      </c>
      <c r="F214" s="675">
        <f>F201+F179+F145+F120</f>
        <v>16474469</v>
      </c>
      <c r="G214" s="675">
        <f>G201+G179+G145+G120</f>
        <v>17513237</v>
      </c>
      <c r="H214" s="676"/>
      <c r="I214" s="675">
        <f>I201+I179+I145+I120</f>
        <v>7983882</v>
      </c>
      <c r="J214" s="793">
        <f>J201+J179+J145+J120</f>
        <v>18189874</v>
      </c>
      <c r="K214" s="793">
        <f>K201+K179+K145+K120</f>
        <v>19349874</v>
      </c>
      <c r="L214" s="793">
        <f>L201+L179+L145+L120</f>
        <v>7829060</v>
      </c>
      <c r="M214" s="793"/>
      <c r="N214" s="674"/>
      <c r="O214" s="674"/>
      <c r="P214" s="677"/>
    </row>
    <row r="215" spans="2:5" ht="12.75">
      <c r="B215" s="63"/>
      <c r="E215" t="s">
        <v>173</v>
      </c>
    </row>
    <row r="217" ht="12.75">
      <c r="P217" s="649">
        <f>J210-14798776</f>
        <v>-2</v>
      </c>
    </row>
  </sheetData>
  <sheetProtection/>
  <mergeCells count="4">
    <mergeCell ref="B2:O2"/>
    <mergeCell ref="B124:L124"/>
    <mergeCell ref="B149:O149"/>
    <mergeCell ref="B183:O183"/>
  </mergeCells>
  <printOptions/>
  <pageMargins left="0.7" right="0.7" top="0.787401575" bottom="0.787401575" header="0.3" footer="0.3"/>
  <pageSetup horizontalDpi="600" verticalDpi="600" orientation="portrait" paperSize="9" scale="70" r:id="rId1"/>
  <rowBreaks count="2" manualBreakCount="2">
    <brk id="122" max="15" man="1"/>
    <brk id="205" max="15" man="1"/>
  </rowBreaks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497"/>
  <sheetViews>
    <sheetView zoomScalePageLayoutView="0" workbookViewId="0" topLeftCell="A1">
      <selection activeCell="A2" sqref="A2:C2"/>
    </sheetView>
  </sheetViews>
  <sheetFormatPr defaultColWidth="9.125" defaultRowHeight="12.75"/>
  <cols>
    <col min="1" max="1" width="35.50390625" style="702" customWidth="1"/>
    <col min="2" max="2" width="12.50390625" style="702" customWidth="1"/>
    <col min="3" max="3" width="15.375" style="702" customWidth="1"/>
    <col min="4" max="4" width="13.125" style="703" customWidth="1"/>
    <col min="5" max="5" width="10.50390625" style="703" customWidth="1"/>
    <col min="6" max="16384" width="9.125" style="702" customWidth="1"/>
  </cols>
  <sheetData>
    <row r="1" spans="1:5" ht="19.5" customHeight="1">
      <c r="A1" s="879" t="s">
        <v>369</v>
      </c>
      <c r="B1" s="879"/>
      <c r="C1" s="879"/>
      <c r="D1" s="879"/>
      <c r="E1" s="702"/>
    </row>
    <row r="2" spans="1:3" ht="19.5" customHeight="1">
      <c r="A2" s="880" t="s">
        <v>424</v>
      </c>
      <c r="B2" s="880"/>
      <c r="C2" s="880"/>
    </row>
    <row r="3" spans="1:4" s="52" customFormat="1" ht="19.5" customHeight="1">
      <c r="A3" s="881" t="s">
        <v>370</v>
      </c>
      <c r="B3" s="881"/>
      <c r="C3" s="881"/>
      <c r="D3" s="881"/>
    </row>
    <row r="4" spans="1:5" ht="19.5" customHeight="1">
      <c r="A4" s="882" t="s">
        <v>7</v>
      </c>
      <c r="B4" s="883" t="s">
        <v>409</v>
      </c>
      <c r="C4" s="883" t="s">
        <v>412</v>
      </c>
      <c r="D4" s="876" t="s">
        <v>338</v>
      </c>
      <c r="E4" s="876" t="s">
        <v>415</v>
      </c>
    </row>
    <row r="5" spans="1:5" ht="19.5" customHeight="1">
      <c r="A5" s="882"/>
      <c r="B5" s="883"/>
      <c r="C5" s="883"/>
      <c r="D5" s="877"/>
      <c r="E5" s="877"/>
    </row>
    <row r="6" spans="1:5" ht="19.5" customHeight="1">
      <c r="A6" s="882"/>
      <c r="B6" s="883"/>
      <c r="C6" s="883"/>
      <c r="D6" s="878"/>
      <c r="E6" s="878"/>
    </row>
    <row r="7" spans="1:5" ht="19.5" customHeight="1">
      <c r="A7" s="704" t="s">
        <v>371</v>
      </c>
      <c r="B7" s="826">
        <v>1315800</v>
      </c>
      <c r="C7" s="826">
        <v>1315800</v>
      </c>
      <c r="D7" s="726"/>
      <c r="E7" s="842">
        <f>D7/C7</f>
        <v>0</v>
      </c>
    </row>
    <row r="8" spans="1:5" ht="19.5" customHeight="1" hidden="1">
      <c r="A8" s="707" t="s">
        <v>372</v>
      </c>
      <c r="B8" s="708"/>
      <c r="C8" s="708"/>
      <c r="D8" s="726"/>
      <c r="E8" s="842" t="e">
        <f aca="true" t="shared" si="0" ref="E8:E24">D8/C8</f>
        <v>#DIV/0!</v>
      </c>
    </row>
    <row r="9" spans="1:5" ht="19.5" customHeight="1" hidden="1">
      <c r="A9" s="707" t="s">
        <v>373</v>
      </c>
      <c r="B9" s="708"/>
      <c r="C9" s="708"/>
      <c r="D9" s="726"/>
      <c r="E9" s="842" t="e">
        <f t="shared" si="0"/>
        <v>#DIV/0!</v>
      </c>
    </row>
    <row r="10" spans="1:5" ht="19.5" customHeight="1" hidden="1">
      <c r="A10" s="707" t="s">
        <v>374</v>
      </c>
      <c r="B10" s="708"/>
      <c r="C10" s="708"/>
      <c r="D10" s="726"/>
      <c r="E10" s="842" t="e">
        <f t="shared" si="0"/>
        <v>#DIV/0!</v>
      </c>
    </row>
    <row r="11" spans="1:5" ht="19.5" customHeight="1">
      <c r="A11" s="711" t="s">
        <v>1</v>
      </c>
      <c r="B11" s="708">
        <v>50000</v>
      </c>
      <c r="C11" s="708">
        <v>50000</v>
      </c>
      <c r="D11" s="726"/>
      <c r="E11" s="842">
        <f t="shared" si="0"/>
        <v>0</v>
      </c>
    </row>
    <row r="12" spans="1:5" ht="19.5" customHeight="1">
      <c r="A12" s="857" t="s">
        <v>8</v>
      </c>
      <c r="B12" s="858">
        <v>410000</v>
      </c>
      <c r="C12" s="858">
        <f>410000+650000</f>
        <v>1060000</v>
      </c>
      <c r="D12" s="726"/>
      <c r="E12" s="842">
        <f t="shared" si="0"/>
        <v>0</v>
      </c>
    </row>
    <row r="13" spans="1:5" ht="19.5" customHeight="1">
      <c r="A13" s="711" t="s">
        <v>18</v>
      </c>
      <c r="B13" s="708">
        <v>1907000</v>
      </c>
      <c r="C13" s="708">
        <v>1907000</v>
      </c>
      <c r="D13" s="726"/>
      <c r="E13" s="842">
        <f t="shared" si="0"/>
        <v>0</v>
      </c>
    </row>
    <row r="14" spans="1:5" ht="19.5" customHeight="1">
      <c r="A14" s="711" t="s">
        <v>9</v>
      </c>
      <c r="B14" s="708">
        <v>1190000</v>
      </c>
      <c r="C14" s="708">
        <v>1190000</v>
      </c>
      <c r="D14" s="726"/>
      <c r="E14" s="842">
        <f t="shared" si="0"/>
        <v>0</v>
      </c>
    </row>
    <row r="15" spans="1:5" ht="19.5" customHeight="1">
      <c r="A15" s="711" t="s">
        <v>10</v>
      </c>
      <c r="B15" s="708">
        <v>5470439</v>
      </c>
      <c r="C15" s="708">
        <v>5470439</v>
      </c>
      <c r="D15" s="726"/>
      <c r="E15" s="842">
        <f t="shared" si="0"/>
        <v>0</v>
      </c>
    </row>
    <row r="16" spans="1:5" ht="19.5" customHeight="1">
      <c r="A16" s="711" t="s">
        <v>139</v>
      </c>
      <c r="B16" s="708">
        <v>50000</v>
      </c>
      <c r="C16" s="708">
        <v>50000</v>
      </c>
      <c r="D16" s="726"/>
      <c r="E16" s="842">
        <f t="shared" si="0"/>
        <v>0</v>
      </c>
    </row>
    <row r="17" spans="1:5" ht="19.5" customHeight="1">
      <c r="A17" s="711" t="s">
        <v>157</v>
      </c>
      <c r="B17" s="712">
        <v>759885</v>
      </c>
      <c r="C17" s="712">
        <v>759885</v>
      </c>
      <c r="D17" s="726"/>
      <c r="E17" s="842">
        <f t="shared" si="0"/>
        <v>0</v>
      </c>
    </row>
    <row r="18" spans="1:5" ht="19.5" customHeight="1">
      <c r="A18" s="713" t="s">
        <v>375</v>
      </c>
      <c r="B18" s="712">
        <v>10000</v>
      </c>
      <c r="C18" s="712">
        <v>10000</v>
      </c>
      <c r="D18" s="726"/>
      <c r="E18" s="842">
        <f t="shared" si="0"/>
        <v>0</v>
      </c>
    </row>
    <row r="19" spans="1:5" ht="19.5" customHeight="1">
      <c r="A19" s="714" t="s">
        <v>39</v>
      </c>
      <c r="B19" s="709">
        <v>1304500</v>
      </c>
      <c r="C19" s="709">
        <v>1304500</v>
      </c>
      <c r="D19" s="726"/>
      <c r="E19" s="842">
        <f t="shared" si="0"/>
        <v>0</v>
      </c>
    </row>
    <row r="20" spans="1:5" ht="19.5" customHeight="1">
      <c r="A20" s="861" t="s">
        <v>423</v>
      </c>
      <c r="B20" s="846"/>
      <c r="C20" s="846">
        <v>200000</v>
      </c>
      <c r="D20" s="726"/>
      <c r="E20" s="842">
        <f t="shared" si="0"/>
        <v>0</v>
      </c>
    </row>
    <row r="21" spans="1:5" ht="19.5" customHeight="1">
      <c r="A21" s="860" t="s">
        <v>425</v>
      </c>
      <c r="B21" s="846"/>
      <c r="C21" s="846">
        <v>50000</v>
      </c>
      <c r="D21" s="726"/>
      <c r="E21" s="842"/>
    </row>
    <row r="22" spans="1:5" ht="19.5" customHeight="1">
      <c r="A22" s="711" t="s">
        <v>376</v>
      </c>
      <c r="B22" s="709">
        <v>853000</v>
      </c>
      <c r="C22" s="709">
        <v>853000</v>
      </c>
      <c r="D22" s="726"/>
      <c r="E22" s="842">
        <f t="shared" si="0"/>
        <v>0</v>
      </c>
    </row>
    <row r="23" spans="1:5" ht="19.5" customHeight="1">
      <c r="A23" s="715" t="s">
        <v>377</v>
      </c>
      <c r="B23" s="709">
        <v>761000</v>
      </c>
      <c r="C23" s="709">
        <v>761000</v>
      </c>
      <c r="D23" s="726"/>
      <c r="E23" s="842">
        <f t="shared" si="0"/>
        <v>0</v>
      </c>
    </row>
    <row r="24" spans="1:5" ht="19.5" customHeight="1">
      <c r="A24" s="847" t="s">
        <v>410</v>
      </c>
      <c r="B24" s="846"/>
      <c r="C24" s="846">
        <v>260000</v>
      </c>
      <c r="D24" s="726">
        <f>'1.Q prac'!L57</f>
        <v>0</v>
      </c>
      <c r="E24" s="842">
        <f t="shared" si="0"/>
        <v>0</v>
      </c>
    </row>
    <row r="25" spans="1:5" ht="19.5" customHeight="1">
      <c r="A25" s="827" t="s">
        <v>378</v>
      </c>
      <c r="B25" s="829">
        <f>SUM(B7:B23)</f>
        <v>14081624</v>
      </c>
      <c r="C25" s="829">
        <f>SUM(C7:C24)</f>
        <v>15241624</v>
      </c>
      <c r="D25" s="829">
        <f>SUM(D7:D24)</f>
        <v>0</v>
      </c>
      <c r="E25" s="828"/>
    </row>
    <row r="26" spans="1:3" ht="19.5" customHeight="1">
      <c r="A26" s="717"/>
      <c r="B26" s="718"/>
      <c r="C26" s="719"/>
    </row>
    <row r="27" spans="1:3" ht="19.5" customHeight="1">
      <c r="A27" s="717"/>
      <c r="B27" s="718"/>
      <c r="C27" s="719"/>
    </row>
    <row r="28" spans="1:3" ht="19.5" customHeight="1" hidden="1">
      <c r="A28" s="717"/>
      <c r="B28" s="718"/>
      <c r="C28" s="719"/>
    </row>
    <row r="29" spans="1:3" ht="19.5" customHeight="1" hidden="1">
      <c r="A29" s="717"/>
      <c r="B29" s="718"/>
      <c r="C29" s="719"/>
    </row>
    <row r="30" spans="1:3" ht="19.5" customHeight="1" hidden="1">
      <c r="A30" s="717"/>
      <c r="B30" s="718"/>
      <c r="C30" s="719"/>
    </row>
    <row r="31" spans="1:3" ht="19.5" customHeight="1" hidden="1">
      <c r="A31" s="717"/>
      <c r="B31" s="718"/>
      <c r="C31" s="719"/>
    </row>
    <row r="32" spans="1:3" ht="19.5" customHeight="1" hidden="1">
      <c r="A32" s="717"/>
      <c r="B32" s="718"/>
      <c r="C32" s="719"/>
    </row>
    <row r="33" spans="1:3" ht="19.5" customHeight="1" hidden="1">
      <c r="A33" s="717"/>
      <c r="B33" s="718"/>
      <c r="C33" s="719"/>
    </row>
    <row r="34" spans="1:3" ht="19.5" customHeight="1" hidden="1">
      <c r="A34" s="717"/>
      <c r="B34" s="718"/>
      <c r="C34" s="719"/>
    </row>
    <row r="35" spans="1:3" ht="19.5" customHeight="1" hidden="1">
      <c r="A35" s="717"/>
      <c r="B35" s="718"/>
      <c r="C35" s="719"/>
    </row>
    <row r="36" spans="1:3" ht="19.5" customHeight="1" hidden="1">
      <c r="A36" s="717"/>
      <c r="B36" s="718"/>
      <c r="C36" s="719"/>
    </row>
    <row r="37" spans="1:5" ht="19.5" customHeight="1" hidden="1">
      <c r="A37" s="720"/>
      <c r="B37" s="514"/>
      <c r="C37" s="721"/>
      <c r="D37" s="25"/>
      <c r="E37" s="25"/>
    </row>
    <row r="38" spans="1:5" ht="19.5" customHeight="1">
      <c r="A38" s="882" t="s">
        <v>379</v>
      </c>
      <c r="B38" s="883" t="s">
        <v>409</v>
      </c>
      <c r="C38" s="883" t="s">
        <v>412</v>
      </c>
      <c r="D38" s="876" t="s">
        <v>338</v>
      </c>
      <c r="E38" s="876" t="s">
        <v>415</v>
      </c>
    </row>
    <row r="39" spans="1:5" ht="19.5" customHeight="1">
      <c r="A39" s="882"/>
      <c r="B39" s="883"/>
      <c r="C39" s="883"/>
      <c r="D39" s="877"/>
      <c r="E39" s="877"/>
    </row>
    <row r="40" spans="1:5" ht="19.5" customHeight="1">
      <c r="A40" s="882"/>
      <c r="B40" s="883"/>
      <c r="C40" s="883"/>
      <c r="D40" s="878"/>
      <c r="E40" s="878"/>
    </row>
    <row r="41" spans="1:5" ht="19.5" customHeight="1">
      <c r="A41" s="857" t="s">
        <v>4</v>
      </c>
      <c r="B41" s="859">
        <v>10350639</v>
      </c>
      <c r="C41" s="859">
        <f>650000+10350639</f>
        <v>11000639</v>
      </c>
      <c r="D41" s="843"/>
      <c r="E41" s="842">
        <f>D41/C41</f>
        <v>0</v>
      </c>
    </row>
    <row r="42" spans="1:5" ht="19.5" customHeight="1">
      <c r="A42" s="711" t="s">
        <v>157</v>
      </c>
      <c r="B42" s="716">
        <v>759885</v>
      </c>
      <c r="C42" s="716">
        <v>759885</v>
      </c>
      <c r="D42" s="843"/>
      <c r="E42" s="842">
        <f>D42/C42</f>
        <v>0</v>
      </c>
    </row>
    <row r="43" spans="1:5" ht="19.5" customHeight="1">
      <c r="A43" s="711" t="s">
        <v>11</v>
      </c>
      <c r="B43" s="716">
        <v>2948000</v>
      </c>
      <c r="C43" s="716">
        <v>2948000</v>
      </c>
      <c r="D43" s="843"/>
      <c r="E43" s="842">
        <f>D43/C43</f>
        <v>0</v>
      </c>
    </row>
    <row r="44" spans="1:5" ht="19.5" customHeight="1">
      <c r="A44" s="711" t="s">
        <v>12</v>
      </c>
      <c r="B44" s="716">
        <v>23100</v>
      </c>
      <c r="C44" s="716">
        <v>23100</v>
      </c>
      <c r="D44" s="843"/>
      <c r="E44" s="842">
        <f>D44/C44</f>
        <v>0</v>
      </c>
    </row>
    <row r="45" spans="1:5" ht="19.5" customHeight="1" hidden="1">
      <c r="A45" s="723" t="s">
        <v>380</v>
      </c>
      <c r="B45" s="716"/>
      <c r="C45" s="716"/>
      <c r="D45" s="726"/>
      <c r="E45" s="710"/>
    </row>
    <row r="46" spans="1:5" ht="19.5" customHeight="1" hidden="1">
      <c r="A46" s="724" t="s">
        <v>381</v>
      </c>
      <c r="B46" s="716"/>
      <c r="C46" s="725"/>
      <c r="D46" s="726"/>
      <c r="E46" s="726"/>
    </row>
    <row r="47" spans="1:5" ht="19.5" customHeight="1" hidden="1">
      <c r="A47" s="723" t="s">
        <v>382</v>
      </c>
      <c r="B47" s="716"/>
      <c r="C47" s="725"/>
      <c r="D47" s="726"/>
      <c r="E47" s="707"/>
    </row>
    <row r="48" spans="1:5" ht="19.5" customHeight="1" hidden="1">
      <c r="A48" s="727" t="s">
        <v>383</v>
      </c>
      <c r="B48" s="716"/>
      <c r="C48" s="725"/>
      <c r="D48" s="726"/>
      <c r="E48" s="707"/>
    </row>
    <row r="49" spans="1:5" ht="19.5" customHeight="1" hidden="1">
      <c r="A49" s="723" t="s">
        <v>384</v>
      </c>
      <c r="B49" s="716"/>
      <c r="C49" s="716"/>
      <c r="D49" s="726"/>
      <c r="E49" s="844"/>
    </row>
    <row r="50" spans="1:5" ht="19.5" customHeight="1" hidden="1">
      <c r="A50" s="723" t="s">
        <v>385</v>
      </c>
      <c r="B50" s="716"/>
      <c r="C50" s="716"/>
      <c r="D50" s="726"/>
      <c r="E50" s="707"/>
    </row>
    <row r="51" spans="1:5" ht="19.5" customHeight="1" hidden="1">
      <c r="A51" s="707" t="s">
        <v>139</v>
      </c>
      <c r="B51" s="716"/>
      <c r="C51" s="725"/>
      <c r="D51" s="726"/>
      <c r="E51" s="707"/>
    </row>
    <row r="52" spans="1:5" ht="19.5" customHeight="1" hidden="1">
      <c r="A52" s="707" t="s">
        <v>19</v>
      </c>
      <c r="B52" s="716"/>
      <c r="C52" s="725"/>
      <c r="D52" s="726"/>
      <c r="E52" s="707"/>
    </row>
    <row r="53" spans="1:5" ht="19.5" customHeight="1" hidden="1">
      <c r="A53" s="723" t="s">
        <v>386</v>
      </c>
      <c r="B53" s="716"/>
      <c r="C53" s="725"/>
      <c r="D53" s="726"/>
      <c r="E53" s="707"/>
    </row>
    <row r="54" spans="1:5" ht="19.5" customHeight="1" hidden="1">
      <c r="A54" s="723" t="s">
        <v>387</v>
      </c>
      <c r="B54" s="716"/>
      <c r="C54" s="725"/>
      <c r="D54" s="726"/>
      <c r="E54" s="707"/>
    </row>
    <row r="55" spans="1:5" ht="19.5" customHeight="1" hidden="1">
      <c r="A55" s="723" t="s">
        <v>30</v>
      </c>
      <c r="B55" s="716"/>
      <c r="C55" s="725"/>
      <c r="D55" s="726"/>
      <c r="E55" s="707"/>
    </row>
    <row r="56" spans="1:5" ht="19.5" customHeight="1" hidden="1">
      <c r="A56" s="723" t="s">
        <v>31</v>
      </c>
      <c r="B56" s="716"/>
      <c r="C56" s="725"/>
      <c r="D56" s="726"/>
      <c r="E56" s="707"/>
    </row>
    <row r="57" spans="1:5" ht="19.5" customHeight="1" hidden="1">
      <c r="A57" s="723" t="s">
        <v>388</v>
      </c>
      <c r="B57" s="716"/>
      <c r="C57" s="725"/>
      <c r="D57" s="726"/>
      <c r="E57" s="707"/>
    </row>
    <row r="58" spans="1:5" ht="19.5" customHeight="1" hidden="1">
      <c r="A58" s="723" t="s">
        <v>389</v>
      </c>
      <c r="B58" s="716"/>
      <c r="C58" s="725"/>
      <c r="D58" s="726"/>
      <c r="E58" s="726"/>
    </row>
    <row r="59" spans="1:5" ht="19.5" customHeight="1" hidden="1">
      <c r="A59" s="723" t="s">
        <v>47</v>
      </c>
      <c r="B59" s="716"/>
      <c r="C59" s="725"/>
      <c r="D59" s="716"/>
      <c r="E59" s="716"/>
    </row>
    <row r="60" spans="1:5" ht="19.5" customHeight="1" hidden="1">
      <c r="A60" s="723" t="s">
        <v>48</v>
      </c>
      <c r="B60" s="716"/>
      <c r="C60" s="725"/>
      <c r="D60" s="716"/>
      <c r="E60" s="716"/>
    </row>
    <row r="61" spans="1:5" ht="19.5" customHeight="1" hidden="1">
      <c r="A61" s="723" t="s">
        <v>93</v>
      </c>
      <c r="B61" s="716"/>
      <c r="C61" s="725"/>
      <c r="D61" s="726"/>
      <c r="E61" s="726"/>
    </row>
    <row r="62" spans="1:5" ht="19.5" customHeight="1" hidden="1">
      <c r="A62" s="723" t="s">
        <v>180</v>
      </c>
      <c r="B62" s="716"/>
      <c r="C62" s="725"/>
      <c r="D62" s="726"/>
      <c r="E62" s="707"/>
    </row>
    <row r="63" spans="1:5" ht="19.5" customHeight="1" hidden="1">
      <c r="A63" s="723" t="s">
        <v>390</v>
      </c>
      <c r="B63" s="716"/>
      <c r="C63" s="725"/>
      <c r="D63" s="726"/>
      <c r="E63" s="707"/>
    </row>
    <row r="64" spans="1:5" ht="19.5" customHeight="1" hidden="1">
      <c r="A64" s="723" t="s">
        <v>391</v>
      </c>
      <c r="B64" s="716"/>
      <c r="C64" s="725"/>
      <c r="D64" s="726"/>
      <c r="E64" s="707"/>
    </row>
    <row r="65" spans="1:5" ht="19.5" customHeight="1" hidden="1">
      <c r="A65" s="723" t="s">
        <v>392</v>
      </c>
      <c r="B65" s="716"/>
      <c r="C65" s="725"/>
      <c r="D65" s="726"/>
      <c r="E65" s="707"/>
    </row>
    <row r="66" spans="1:5" ht="19.5" customHeight="1" hidden="1">
      <c r="A66" s="723" t="s">
        <v>393</v>
      </c>
      <c r="B66" s="716"/>
      <c r="C66" s="725"/>
      <c r="D66" s="726"/>
      <c r="E66" s="707"/>
    </row>
    <row r="67" spans="1:5" ht="19.5" customHeight="1" hidden="1">
      <c r="A67" s="723" t="s">
        <v>394</v>
      </c>
      <c r="B67" s="716"/>
      <c r="C67" s="725"/>
      <c r="D67" s="726"/>
      <c r="E67" s="707"/>
    </row>
    <row r="68" spans="1:5" ht="19.5" customHeight="1" hidden="1">
      <c r="A68" s="723" t="s">
        <v>395</v>
      </c>
      <c r="B68" s="716"/>
      <c r="C68" s="725"/>
      <c r="D68" s="726"/>
      <c r="E68" s="707"/>
    </row>
    <row r="69" spans="1:5" ht="19.5" customHeight="1">
      <c r="A69" s="847" t="s">
        <v>426</v>
      </c>
      <c r="B69" s="848"/>
      <c r="C69" s="849">
        <v>260000</v>
      </c>
      <c r="D69" s="726"/>
      <c r="E69" s="842">
        <f>D69/C69</f>
        <v>0</v>
      </c>
    </row>
    <row r="70" spans="1:5" ht="19.5" customHeight="1">
      <c r="A70" s="861" t="s">
        <v>423</v>
      </c>
      <c r="B70" s="848"/>
      <c r="C70" s="849">
        <v>200000</v>
      </c>
      <c r="D70" s="726"/>
      <c r="E70" s="842"/>
    </row>
    <row r="71" spans="1:5" ht="19.5" customHeight="1">
      <c r="A71" s="860" t="s">
        <v>425</v>
      </c>
      <c r="B71" s="848"/>
      <c r="C71" s="849">
        <v>50000</v>
      </c>
      <c r="D71" s="726"/>
      <c r="E71" s="842"/>
    </row>
    <row r="72" spans="1:5" s="52" customFormat="1" ht="19.5" customHeight="1">
      <c r="A72" s="827" t="s">
        <v>13</v>
      </c>
      <c r="B72" s="829">
        <f>SUM(B41:B68)</f>
        <v>14081624</v>
      </c>
      <c r="C72" s="829">
        <f>SUM(C41:C71)</f>
        <v>15241624</v>
      </c>
      <c r="D72" s="725">
        <f>SUM(D41:D69)</f>
        <v>0</v>
      </c>
      <c r="E72" s="706" t="s">
        <v>173</v>
      </c>
    </row>
    <row r="73" spans="1:5" s="52" customFormat="1" ht="19.5" customHeight="1" hidden="1">
      <c r="A73" s="717"/>
      <c r="B73" s="718"/>
      <c r="C73" s="718"/>
      <c r="D73" s="25"/>
      <c r="E73" s="25"/>
    </row>
    <row r="74" spans="1:5" s="52" customFormat="1" ht="19.5" customHeight="1" hidden="1">
      <c r="A74" s="717"/>
      <c r="B74" s="718"/>
      <c r="C74" s="718"/>
      <c r="D74" s="25"/>
      <c r="E74" s="25"/>
    </row>
    <row r="75" spans="1:5" s="52" customFormat="1" ht="19.5" customHeight="1" hidden="1">
      <c r="A75" s="717"/>
      <c r="B75" s="718"/>
      <c r="C75" s="718"/>
      <c r="D75" s="25"/>
      <c r="E75" s="25"/>
    </row>
    <row r="76" spans="1:5" s="52" customFormat="1" ht="19.5" customHeight="1" hidden="1">
      <c r="A76" s="717"/>
      <c r="B76" s="718"/>
      <c r="C76" s="718"/>
      <c r="D76" s="25"/>
      <c r="E76" s="25"/>
    </row>
    <row r="77" spans="1:5" s="52" customFormat="1" ht="19.5" customHeight="1" hidden="1">
      <c r="A77" s="717"/>
      <c r="B77" s="718"/>
      <c r="C77" s="718"/>
      <c r="D77" s="25"/>
      <c r="E77" s="25"/>
    </row>
    <row r="78" spans="1:5" s="52" customFormat="1" ht="19.5" customHeight="1" hidden="1">
      <c r="A78" s="717"/>
      <c r="B78" s="718"/>
      <c r="C78" s="718"/>
      <c r="D78" s="25"/>
      <c r="E78" s="25"/>
    </row>
    <row r="79" spans="3:5" s="52" customFormat="1" ht="19.5" customHeight="1" hidden="1">
      <c r="C79" s="718"/>
      <c r="D79" s="25"/>
      <c r="E79" s="25"/>
    </row>
    <row r="80" spans="3:5" s="52" customFormat="1" ht="19.5" customHeight="1" hidden="1">
      <c r="C80" s="718"/>
      <c r="D80" s="25"/>
      <c r="E80" s="25"/>
    </row>
    <row r="81" spans="1:5" s="52" customFormat="1" ht="19.5" customHeight="1" hidden="1">
      <c r="A81" s="717"/>
      <c r="B81" s="718"/>
      <c r="C81" s="718"/>
      <c r="D81" s="25"/>
      <c r="E81" s="25"/>
    </row>
    <row r="82" spans="1:5" s="52" customFormat="1" ht="19.5" customHeight="1">
      <c r="A82" s="717"/>
      <c r="B82" s="718"/>
      <c r="C82" s="718"/>
      <c r="D82" s="25"/>
      <c r="E82" s="25"/>
    </row>
    <row r="83" spans="1:5" s="52" customFormat="1" ht="19.5" customHeight="1">
      <c r="A83" s="717"/>
      <c r="B83" s="718"/>
      <c r="C83" s="718"/>
      <c r="D83" s="25"/>
      <c r="E83" s="25"/>
    </row>
    <row r="84" spans="1:5" s="52" customFormat="1" ht="19.5" customHeight="1" hidden="1">
      <c r="A84" s="717"/>
      <c r="B84" s="514"/>
      <c r="C84" s="514"/>
      <c r="D84" s="502"/>
      <c r="E84" s="502"/>
    </row>
    <row r="85" spans="1:5" s="52" customFormat="1" ht="19.5" customHeight="1" hidden="1">
      <c r="A85" s="717"/>
      <c r="B85" s="514"/>
      <c r="C85" s="514"/>
      <c r="D85" s="502"/>
      <c r="E85" s="502"/>
    </row>
    <row r="86" spans="1:5" s="52" customFormat="1" ht="19.5" customHeight="1" hidden="1">
      <c r="A86" s="717"/>
      <c r="B86" s="514"/>
      <c r="C86" s="514"/>
      <c r="D86" s="502"/>
      <c r="E86" s="502"/>
    </row>
    <row r="87" spans="1:5" s="52" customFormat="1" ht="19.5" customHeight="1" hidden="1">
      <c r="A87" s="717"/>
      <c r="B87" s="514"/>
      <c r="C87" s="514"/>
      <c r="D87" s="502"/>
      <c r="E87" s="502"/>
    </row>
    <row r="88" spans="1:5" s="52" customFormat="1" ht="19.5" customHeight="1">
      <c r="A88" s="717"/>
      <c r="B88" s="718"/>
      <c r="C88" s="718"/>
      <c r="D88" s="25"/>
      <c r="E88" s="25"/>
    </row>
    <row r="89" spans="1:5" ht="19.5" customHeight="1">
      <c r="A89" s="885" t="s">
        <v>14</v>
      </c>
      <c r="B89" s="885"/>
      <c r="C89" s="885"/>
      <c r="D89" s="885"/>
      <c r="E89" s="702"/>
    </row>
    <row r="90" spans="1:5" ht="19.5" customHeight="1">
      <c r="A90" s="886" t="s">
        <v>0</v>
      </c>
      <c r="B90" s="883" t="s">
        <v>409</v>
      </c>
      <c r="C90" s="883" t="s">
        <v>412</v>
      </c>
      <c r="D90" s="876" t="s">
        <v>338</v>
      </c>
      <c r="E90" s="876" t="s">
        <v>415</v>
      </c>
    </row>
    <row r="91" spans="1:5" ht="19.5" customHeight="1">
      <c r="A91" s="886"/>
      <c r="B91" s="883"/>
      <c r="C91" s="883"/>
      <c r="D91" s="877"/>
      <c r="E91" s="877"/>
    </row>
    <row r="92" spans="1:5" ht="19.5" customHeight="1">
      <c r="A92" s="886"/>
      <c r="B92" s="883"/>
      <c r="C92" s="883"/>
      <c r="D92" s="878"/>
      <c r="E92" s="878"/>
    </row>
    <row r="93" spans="1:5" ht="19.5" customHeight="1">
      <c r="A93" s="715" t="s">
        <v>371</v>
      </c>
      <c r="B93" s="728">
        <v>178000</v>
      </c>
      <c r="C93" s="728">
        <v>178000</v>
      </c>
      <c r="D93" s="706"/>
      <c r="E93" s="842">
        <f aca="true" t="shared" si="1" ref="E93:E101">D93/C93</f>
        <v>0</v>
      </c>
    </row>
    <row r="94" spans="1:5" ht="19.5" customHeight="1" hidden="1">
      <c r="A94" s="707" t="s">
        <v>372</v>
      </c>
      <c r="B94" s="716"/>
      <c r="C94" s="716"/>
      <c r="D94" s="710"/>
      <c r="E94" s="842" t="e">
        <f t="shared" si="1"/>
        <v>#DIV/0!</v>
      </c>
    </row>
    <row r="95" spans="1:5" ht="19.5" customHeight="1" hidden="1">
      <c r="A95" s="707" t="s">
        <v>396</v>
      </c>
      <c r="B95" s="716"/>
      <c r="C95" s="716"/>
      <c r="D95" s="710"/>
      <c r="E95" s="842" t="e">
        <f t="shared" si="1"/>
        <v>#DIV/0!</v>
      </c>
    </row>
    <row r="96" spans="1:5" ht="19.5" customHeight="1" hidden="1">
      <c r="A96" s="707" t="s">
        <v>397</v>
      </c>
      <c r="B96" s="716"/>
      <c r="C96" s="716"/>
      <c r="D96" s="710"/>
      <c r="E96" s="842" t="e">
        <f t="shared" si="1"/>
        <v>#DIV/0!</v>
      </c>
    </row>
    <row r="97" spans="1:5" ht="19.5" customHeight="1">
      <c r="A97" s="711" t="s">
        <v>1</v>
      </c>
      <c r="B97" s="716">
        <v>15000</v>
      </c>
      <c r="C97" s="716">
        <v>15000</v>
      </c>
      <c r="D97" s="706"/>
      <c r="E97" s="842">
        <f t="shared" si="1"/>
        <v>0</v>
      </c>
    </row>
    <row r="98" spans="1:5" ht="19.5" customHeight="1">
      <c r="A98" s="711" t="s">
        <v>8</v>
      </c>
      <c r="B98" s="716">
        <v>7000</v>
      </c>
      <c r="C98" s="716">
        <v>7000</v>
      </c>
      <c r="D98" s="706"/>
      <c r="E98" s="842">
        <f t="shared" si="1"/>
        <v>0</v>
      </c>
    </row>
    <row r="99" spans="1:5" ht="19.5" customHeight="1">
      <c r="A99" s="711" t="s">
        <v>398</v>
      </c>
      <c r="B99" s="716">
        <v>100000</v>
      </c>
      <c r="C99" s="716">
        <v>100000</v>
      </c>
      <c r="D99" s="706"/>
      <c r="E99" s="842">
        <f t="shared" si="1"/>
        <v>0</v>
      </c>
    </row>
    <row r="100" spans="1:5" ht="19.5" customHeight="1">
      <c r="A100" s="711" t="s">
        <v>10</v>
      </c>
      <c r="B100" s="716">
        <v>590481</v>
      </c>
      <c r="C100" s="716">
        <v>590481</v>
      </c>
      <c r="D100" s="706"/>
      <c r="E100" s="842">
        <f t="shared" si="1"/>
        <v>0</v>
      </c>
    </row>
    <row r="101" spans="1:5" ht="19.5" customHeight="1">
      <c r="A101" s="729" t="s">
        <v>399</v>
      </c>
      <c r="B101" s="716">
        <v>24766</v>
      </c>
      <c r="C101" s="716">
        <v>24766</v>
      </c>
      <c r="D101" s="706"/>
      <c r="E101" s="842">
        <f t="shared" si="1"/>
        <v>0</v>
      </c>
    </row>
    <row r="102" spans="1:5" ht="19.5" customHeight="1" hidden="1">
      <c r="A102" s="729" t="s">
        <v>197</v>
      </c>
      <c r="B102" s="716"/>
      <c r="C102" s="716"/>
      <c r="D102" s="710"/>
      <c r="E102" s="710"/>
    </row>
    <row r="103" spans="1:5" ht="19.5" customHeight="1" hidden="1">
      <c r="A103" s="707" t="s">
        <v>9</v>
      </c>
      <c r="B103" s="716"/>
      <c r="C103" s="716"/>
      <c r="D103" s="710"/>
      <c r="E103" s="710"/>
    </row>
    <row r="104" spans="1:5" ht="19.5" customHeight="1">
      <c r="A104" s="827" t="s">
        <v>2</v>
      </c>
      <c r="B104" s="828">
        <f>SUM(B93:B103)</f>
        <v>915247</v>
      </c>
      <c r="C104" s="828">
        <f>SUM(C93:C103)</f>
        <v>915247</v>
      </c>
      <c r="D104" s="706">
        <f>SUM(D93:D101)</f>
        <v>0</v>
      </c>
      <c r="E104" s="706" t="s">
        <v>173</v>
      </c>
    </row>
    <row r="105" spans="1:3" ht="19.5" customHeight="1">
      <c r="A105" s="717"/>
      <c r="B105" s="718"/>
      <c r="C105" s="718"/>
    </row>
    <row r="106" spans="1:3" ht="19.5" customHeight="1">
      <c r="A106" s="717"/>
      <c r="B106" s="718"/>
      <c r="C106" s="718"/>
    </row>
    <row r="107" spans="1:5" ht="19.5" customHeight="1">
      <c r="A107" s="882" t="s">
        <v>379</v>
      </c>
      <c r="B107" s="883" t="s">
        <v>409</v>
      </c>
      <c r="C107" s="883" t="s">
        <v>412</v>
      </c>
      <c r="D107" s="876" t="s">
        <v>338</v>
      </c>
      <c r="E107" s="876" t="s">
        <v>415</v>
      </c>
    </row>
    <row r="108" spans="1:5" ht="19.5" customHeight="1">
      <c r="A108" s="882"/>
      <c r="B108" s="883"/>
      <c r="C108" s="883"/>
      <c r="D108" s="877"/>
      <c r="E108" s="877"/>
    </row>
    <row r="109" spans="1:5" ht="19.5" customHeight="1">
      <c r="A109" s="882"/>
      <c r="B109" s="883"/>
      <c r="C109" s="883"/>
      <c r="D109" s="878"/>
      <c r="E109" s="878"/>
    </row>
    <row r="110" spans="1:5" ht="19.5" customHeight="1">
      <c r="A110" s="711" t="s">
        <v>4</v>
      </c>
      <c r="B110" s="730">
        <v>850481</v>
      </c>
      <c r="C110" s="730">
        <v>850481</v>
      </c>
      <c r="D110" s="706"/>
      <c r="E110" s="842">
        <f>D110/C110</f>
        <v>0</v>
      </c>
    </row>
    <row r="111" spans="1:5" ht="19.5" customHeight="1">
      <c r="A111" s="729" t="s">
        <v>399</v>
      </c>
      <c r="B111" s="730">
        <v>24766</v>
      </c>
      <c r="C111" s="730">
        <v>24766</v>
      </c>
      <c r="D111" s="706"/>
      <c r="E111" s="842">
        <f>D111/C111</f>
        <v>0</v>
      </c>
    </row>
    <row r="112" spans="1:5" ht="19.5" customHeight="1">
      <c r="A112" s="711" t="s">
        <v>11</v>
      </c>
      <c r="B112" s="730">
        <v>40000</v>
      </c>
      <c r="C112" s="730">
        <v>40000</v>
      </c>
      <c r="D112" s="706"/>
      <c r="E112" s="842">
        <f>D112/C112</f>
        <v>0</v>
      </c>
    </row>
    <row r="113" spans="1:5" ht="19.5" customHeight="1">
      <c r="A113" s="715" t="s">
        <v>5</v>
      </c>
      <c r="B113" s="716">
        <f>SUM(B109:B112)</f>
        <v>915247</v>
      </c>
      <c r="C113" s="716">
        <f>SUM(C109:C112)</f>
        <v>915247</v>
      </c>
      <c r="D113" s="706">
        <f>SUM(D110:D112)</f>
        <v>0</v>
      </c>
      <c r="E113" s="706"/>
    </row>
    <row r="114" spans="1:3" ht="19.5" customHeight="1">
      <c r="A114" s="717"/>
      <c r="B114" s="718"/>
      <c r="C114" s="718"/>
    </row>
    <row r="115" spans="4:5" ht="19.5" customHeight="1">
      <c r="D115" s="702"/>
      <c r="E115" s="702"/>
    </row>
    <row r="116" spans="1:5" s="52" customFormat="1" ht="19.5" customHeight="1">
      <c r="A116" s="885" t="s">
        <v>418</v>
      </c>
      <c r="B116" s="885"/>
      <c r="C116" s="885"/>
      <c r="D116" s="885"/>
      <c r="E116" s="702"/>
    </row>
    <row r="117" spans="1:5" s="52" customFormat="1" ht="19.5" customHeight="1">
      <c r="A117" s="886" t="s">
        <v>0</v>
      </c>
      <c r="B117" s="883" t="s">
        <v>409</v>
      </c>
      <c r="C117" s="883" t="s">
        <v>412</v>
      </c>
      <c r="D117" s="876" t="s">
        <v>338</v>
      </c>
      <c r="E117" s="876" t="s">
        <v>415</v>
      </c>
    </row>
    <row r="118" spans="1:5" s="52" customFormat="1" ht="19.5" customHeight="1">
      <c r="A118" s="886"/>
      <c r="B118" s="883"/>
      <c r="C118" s="883"/>
      <c r="D118" s="877"/>
      <c r="E118" s="877"/>
    </row>
    <row r="119" spans="1:5" s="52" customFormat="1" ht="19.5" customHeight="1">
      <c r="A119" s="886"/>
      <c r="B119" s="883"/>
      <c r="C119" s="883"/>
      <c r="D119" s="878"/>
      <c r="E119" s="878"/>
    </row>
    <row r="120" spans="1:5" s="52" customFormat="1" ht="19.5" customHeight="1">
      <c r="A120" s="715" t="s">
        <v>371</v>
      </c>
      <c r="B120" s="728">
        <v>85000</v>
      </c>
      <c r="C120" s="728">
        <v>85000</v>
      </c>
      <c r="D120" s="731"/>
      <c r="E120" s="842">
        <f aca="true" t="shared" si="2" ref="E120:E129">D120/C120</f>
        <v>0</v>
      </c>
    </row>
    <row r="121" spans="1:5" s="52" customFormat="1" ht="19.5" customHeight="1" hidden="1">
      <c r="A121" s="707" t="s">
        <v>372</v>
      </c>
      <c r="B121" s="716">
        <v>0</v>
      </c>
      <c r="C121" s="716">
        <v>0</v>
      </c>
      <c r="D121" s="716"/>
      <c r="E121" s="842" t="e">
        <f t="shared" si="2"/>
        <v>#DIV/0!</v>
      </c>
    </row>
    <row r="122" spans="1:5" s="52" customFormat="1" ht="19.5" customHeight="1" hidden="1">
      <c r="A122" s="707" t="s">
        <v>373</v>
      </c>
      <c r="B122" s="716">
        <v>0</v>
      </c>
      <c r="C122" s="716">
        <v>0</v>
      </c>
      <c r="D122" s="716"/>
      <c r="E122" s="842" t="e">
        <f t="shared" si="2"/>
        <v>#DIV/0!</v>
      </c>
    </row>
    <row r="123" spans="1:5" s="52" customFormat="1" ht="19.5" customHeight="1" hidden="1">
      <c r="A123" s="707" t="s">
        <v>397</v>
      </c>
      <c r="B123" s="716">
        <v>0</v>
      </c>
      <c r="C123" s="716">
        <v>0</v>
      </c>
      <c r="D123" s="716"/>
      <c r="E123" s="842" t="e">
        <f t="shared" si="2"/>
        <v>#DIV/0!</v>
      </c>
    </row>
    <row r="124" spans="1:5" s="52" customFormat="1" ht="19.5" customHeight="1">
      <c r="A124" s="711" t="s">
        <v>1</v>
      </c>
      <c r="B124" s="716">
        <v>5000</v>
      </c>
      <c r="C124" s="716">
        <v>5000</v>
      </c>
      <c r="D124" s="725"/>
      <c r="E124" s="842">
        <f t="shared" si="2"/>
        <v>0</v>
      </c>
    </row>
    <row r="125" spans="1:5" s="52" customFormat="1" ht="19.5" customHeight="1">
      <c r="A125" s="711" t="s">
        <v>8</v>
      </c>
      <c r="B125" s="716">
        <v>50000</v>
      </c>
      <c r="C125" s="716">
        <v>50000</v>
      </c>
      <c r="D125" s="725"/>
      <c r="E125" s="842">
        <f t="shared" si="2"/>
        <v>0</v>
      </c>
    </row>
    <row r="126" spans="1:5" s="52" customFormat="1" ht="19.5" customHeight="1">
      <c r="A126" s="711" t="s">
        <v>9</v>
      </c>
      <c r="B126" s="716">
        <v>10000</v>
      </c>
      <c r="C126" s="716">
        <v>10000</v>
      </c>
      <c r="D126" s="725"/>
      <c r="E126" s="842">
        <f t="shared" si="2"/>
        <v>0</v>
      </c>
    </row>
    <row r="127" spans="1:5" s="52" customFormat="1" ht="19.5" customHeight="1">
      <c r="A127" s="711" t="s">
        <v>16</v>
      </c>
      <c r="B127" s="716">
        <v>200000</v>
      </c>
      <c r="C127" s="716">
        <v>200000</v>
      </c>
      <c r="D127" s="725"/>
      <c r="E127" s="842">
        <f t="shared" si="2"/>
        <v>0</v>
      </c>
    </row>
    <row r="128" spans="1:5" s="52" customFormat="1" ht="19.5" customHeight="1">
      <c r="A128" s="711" t="s">
        <v>10</v>
      </c>
      <c r="B128" s="716">
        <v>1131691</v>
      </c>
      <c r="C128" s="716">
        <v>1131692</v>
      </c>
      <c r="D128" s="725"/>
      <c r="E128" s="842">
        <f t="shared" si="2"/>
        <v>0</v>
      </c>
    </row>
    <row r="129" spans="1:5" s="52" customFormat="1" ht="19.5" customHeight="1">
      <c r="A129" s="711" t="s">
        <v>400</v>
      </c>
      <c r="B129" s="716">
        <v>263000</v>
      </c>
      <c r="C129" s="716">
        <v>263000</v>
      </c>
      <c r="D129" s="725"/>
      <c r="E129" s="842">
        <f t="shared" si="2"/>
        <v>0</v>
      </c>
    </row>
    <row r="130" spans="1:5" s="52" customFormat="1" ht="19.5" customHeight="1">
      <c r="A130" s="827" t="s">
        <v>2</v>
      </c>
      <c r="B130" s="828">
        <f>SUM(B120:B129)</f>
        <v>1744691</v>
      </c>
      <c r="C130" s="716">
        <f>SUM(C120:C129)</f>
        <v>1744692</v>
      </c>
      <c r="D130" s="731">
        <f>SUM(D120:D129)</f>
        <v>0</v>
      </c>
      <c r="E130" s="731" t="s">
        <v>173</v>
      </c>
    </row>
    <row r="131" spans="1:5" s="52" customFormat="1" ht="19.5" customHeight="1">
      <c r="A131" s="717"/>
      <c r="B131" s="718"/>
      <c r="C131" s="718"/>
      <c r="D131" s="703"/>
      <c r="E131" s="703"/>
    </row>
    <row r="132" spans="1:5" s="52" customFormat="1" ht="19.5" customHeight="1">
      <c r="A132" s="717"/>
      <c r="B132" s="718"/>
      <c r="C132" s="718"/>
      <c r="D132" s="703"/>
      <c r="E132" s="703"/>
    </row>
    <row r="133" spans="1:5" s="52" customFormat="1" ht="19.5" customHeight="1">
      <c r="A133" s="882" t="s">
        <v>379</v>
      </c>
      <c r="B133" s="883" t="s">
        <v>409</v>
      </c>
      <c r="C133" s="883" t="s">
        <v>412</v>
      </c>
      <c r="D133" s="876" t="s">
        <v>338</v>
      </c>
      <c r="E133" s="876" t="s">
        <v>415</v>
      </c>
    </row>
    <row r="134" spans="1:5" s="52" customFormat="1" ht="19.5" customHeight="1">
      <c r="A134" s="882"/>
      <c r="B134" s="883"/>
      <c r="C134" s="883"/>
      <c r="D134" s="877"/>
      <c r="E134" s="877"/>
    </row>
    <row r="135" spans="1:5" s="52" customFormat="1" ht="19.5" customHeight="1">
      <c r="A135" s="882"/>
      <c r="B135" s="883"/>
      <c r="C135" s="883"/>
      <c r="D135" s="878"/>
      <c r="E135" s="878"/>
    </row>
    <row r="136" spans="1:5" s="52" customFormat="1" ht="19.5" customHeight="1">
      <c r="A136" s="711" t="s">
        <v>11</v>
      </c>
      <c r="B136" s="716">
        <v>380000</v>
      </c>
      <c r="C136" s="716">
        <v>380000</v>
      </c>
      <c r="D136" s="725"/>
      <c r="E136" s="842">
        <f>D136/C136</f>
        <v>0</v>
      </c>
    </row>
    <row r="137" spans="1:5" s="52" customFormat="1" ht="19.5" customHeight="1">
      <c r="A137" s="711" t="s">
        <v>4</v>
      </c>
      <c r="B137" s="716">
        <v>1364691</v>
      </c>
      <c r="C137" s="716">
        <v>1364691</v>
      </c>
      <c r="D137" s="725"/>
      <c r="E137" s="842">
        <f>D137/C137</f>
        <v>0</v>
      </c>
    </row>
    <row r="138" spans="1:5" s="52" customFormat="1" ht="19.5" customHeight="1" hidden="1">
      <c r="A138" s="707" t="s">
        <v>401</v>
      </c>
      <c r="B138" s="716"/>
      <c r="C138" s="716"/>
      <c r="D138" s="725"/>
      <c r="E138" s="725"/>
    </row>
    <row r="139" spans="1:5" s="52" customFormat="1" ht="19.5" customHeight="1" hidden="1">
      <c r="A139" s="707" t="s">
        <v>402</v>
      </c>
      <c r="B139" s="716"/>
      <c r="C139" s="716"/>
      <c r="D139" s="725"/>
      <c r="E139" s="725"/>
    </row>
    <row r="140" spans="1:5" s="52" customFormat="1" ht="19.5" customHeight="1" hidden="1">
      <c r="A140" s="707" t="s">
        <v>403</v>
      </c>
      <c r="B140" s="716"/>
      <c r="C140" s="716"/>
      <c r="D140" s="725"/>
      <c r="E140" s="725"/>
    </row>
    <row r="141" spans="1:5" s="52" customFormat="1" ht="19.5" customHeight="1" hidden="1">
      <c r="A141" s="707" t="s">
        <v>404</v>
      </c>
      <c r="B141" s="716"/>
      <c r="C141" s="716"/>
      <c r="D141" s="725"/>
      <c r="E141" s="725"/>
    </row>
    <row r="142" spans="1:5" s="52" customFormat="1" ht="19.5" customHeight="1">
      <c r="A142" s="827" t="s">
        <v>5</v>
      </c>
      <c r="B142" s="828">
        <f>SUM(B136:B141)</f>
        <v>1744691</v>
      </c>
      <c r="C142" s="716">
        <f>SUM(C136:C141)</f>
        <v>1744691</v>
      </c>
      <c r="D142" s="731">
        <f>SUM(D136:D141)</f>
        <v>0</v>
      </c>
      <c r="E142" s="731" t="s">
        <v>173</v>
      </c>
    </row>
    <row r="143" spans="1:5" s="52" customFormat="1" ht="19.5" customHeight="1">
      <c r="A143" s="717"/>
      <c r="B143" s="514"/>
      <c r="C143" s="514"/>
      <c r="D143" s="502"/>
      <c r="E143" s="502"/>
    </row>
    <row r="144" spans="1:5" s="52" customFormat="1" ht="19.5" customHeight="1">
      <c r="A144" s="717"/>
      <c r="B144" s="514"/>
      <c r="C144" s="514"/>
      <c r="D144" s="502"/>
      <c r="E144" s="502"/>
    </row>
    <row r="145" spans="1:5" ht="19.5" customHeight="1">
      <c r="A145" s="885" t="s">
        <v>419</v>
      </c>
      <c r="B145" s="885"/>
      <c r="C145" s="885"/>
      <c r="D145" s="885"/>
      <c r="E145" s="702"/>
    </row>
    <row r="146" spans="1:5" ht="19.5" customHeight="1">
      <c r="A146" s="886" t="s">
        <v>0</v>
      </c>
      <c r="B146" s="883" t="s">
        <v>409</v>
      </c>
      <c r="C146" s="883" t="s">
        <v>412</v>
      </c>
      <c r="D146" s="876" t="s">
        <v>338</v>
      </c>
      <c r="E146" s="876" t="s">
        <v>415</v>
      </c>
    </row>
    <row r="147" spans="1:5" ht="19.5" customHeight="1">
      <c r="A147" s="886"/>
      <c r="B147" s="883"/>
      <c r="C147" s="883"/>
      <c r="D147" s="877"/>
      <c r="E147" s="877"/>
    </row>
    <row r="148" spans="1:5" ht="19.5" customHeight="1">
      <c r="A148" s="886"/>
      <c r="B148" s="883"/>
      <c r="C148" s="883"/>
      <c r="D148" s="878"/>
      <c r="E148" s="878"/>
    </row>
    <row r="149" spans="1:5" ht="19.5" customHeight="1">
      <c r="A149" s="711" t="s">
        <v>1</v>
      </c>
      <c r="B149" s="716">
        <v>5000</v>
      </c>
      <c r="C149" s="716">
        <v>5000</v>
      </c>
      <c r="D149" s="725"/>
      <c r="E149" s="725"/>
    </row>
    <row r="150" spans="1:5" ht="19.5" customHeight="1">
      <c r="A150" s="711" t="s">
        <v>8</v>
      </c>
      <c r="B150" s="716">
        <v>20000</v>
      </c>
      <c r="C150" s="716">
        <v>20000</v>
      </c>
      <c r="D150" s="725"/>
      <c r="E150" s="725"/>
    </row>
    <row r="151" spans="1:5" ht="19.5" customHeight="1">
      <c r="A151" s="711" t="s">
        <v>398</v>
      </c>
      <c r="B151" s="716">
        <v>20000</v>
      </c>
      <c r="C151" s="716">
        <v>20000</v>
      </c>
      <c r="D151" s="725"/>
      <c r="E151" s="725"/>
    </row>
    <row r="152" spans="1:5" ht="19.5" customHeight="1">
      <c r="A152" s="711" t="s">
        <v>9</v>
      </c>
      <c r="B152" s="716">
        <v>5000</v>
      </c>
      <c r="C152" s="716">
        <v>5000</v>
      </c>
      <c r="D152" s="725"/>
      <c r="E152" s="725"/>
    </row>
    <row r="153" spans="1:5" ht="19.5" customHeight="1">
      <c r="A153" s="711" t="s">
        <v>10</v>
      </c>
      <c r="B153" s="716">
        <v>1108312</v>
      </c>
      <c r="C153" s="716">
        <v>1108312</v>
      </c>
      <c r="D153" s="725"/>
      <c r="E153" s="725"/>
    </row>
    <row r="154" spans="1:5" ht="19.5" customHeight="1">
      <c r="A154" s="715" t="s">
        <v>405</v>
      </c>
      <c r="B154" s="716">
        <v>80000</v>
      </c>
      <c r="C154" s="716">
        <v>80000</v>
      </c>
      <c r="D154" s="725"/>
      <c r="E154" s="725"/>
    </row>
    <row r="155" spans="1:5" ht="19.5" customHeight="1">
      <c r="A155" s="715" t="s">
        <v>406</v>
      </c>
      <c r="B155" s="716">
        <v>180000</v>
      </c>
      <c r="C155" s="716">
        <v>180000</v>
      </c>
      <c r="D155" s="725"/>
      <c r="E155" s="725"/>
    </row>
    <row r="156" spans="1:5" ht="19.5" customHeight="1">
      <c r="A156" s="715" t="s">
        <v>420</v>
      </c>
      <c r="B156" s="716">
        <v>30000</v>
      </c>
      <c r="C156" s="716">
        <v>30000</v>
      </c>
      <c r="D156" s="725"/>
      <c r="E156" s="725"/>
    </row>
    <row r="157" spans="1:5" ht="19.5" customHeight="1">
      <c r="A157" s="827" t="s">
        <v>2</v>
      </c>
      <c r="B157" s="828">
        <f>SUM(B149:B156)</f>
        <v>1448312</v>
      </c>
      <c r="C157" s="716">
        <f>SUM(C149:C156)</f>
        <v>1448312</v>
      </c>
      <c r="D157" s="731">
        <f>SUM(D149:D156)</f>
        <v>0</v>
      </c>
      <c r="E157" s="731">
        <f>SUM(E149:E156)</f>
        <v>0</v>
      </c>
    </row>
    <row r="158" spans="1:3" ht="19.5" customHeight="1">
      <c r="A158" s="717"/>
      <c r="B158" s="718"/>
      <c r="C158" s="718"/>
    </row>
    <row r="159" spans="1:5" ht="19.5" customHeight="1">
      <c r="A159" s="882" t="s">
        <v>379</v>
      </c>
      <c r="B159" s="883" t="s">
        <v>409</v>
      </c>
      <c r="C159" s="883" t="s">
        <v>412</v>
      </c>
      <c r="D159" s="876" t="s">
        <v>338</v>
      </c>
      <c r="E159" s="876" t="s">
        <v>415</v>
      </c>
    </row>
    <row r="160" spans="1:5" ht="19.5" customHeight="1">
      <c r="A160" s="882"/>
      <c r="B160" s="883"/>
      <c r="C160" s="883"/>
      <c r="D160" s="877"/>
      <c r="E160" s="877"/>
    </row>
    <row r="161" spans="1:5" ht="19.5" customHeight="1">
      <c r="A161" s="882"/>
      <c r="B161" s="883"/>
      <c r="C161" s="883"/>
      <c r="D161" s="878"/>
      <c r="E161" s="878"/>
    </row>
    <row r="162" spans="1:5" ht="19.5" customHeight="1">
      <c r="A162" s="711" t="s">
        <v>4</v>
      </c>
      <c r="B162" s="716">
        <v>1448312</v>
      </c>
      <c r="C162" s="716">
        <v>1448312</v>
      </c>
      <c r="D162" s="706"/>
      <c r="E162" s="706"/>
    </row>
    <row r="163" spans="1:5" ht="19.5" customHeight="1" hidden="1">
      <c r="A163" s="723" t="s">
        <v>408</v>
      </c>
      <c r="B163" s="716"/>
      <c r="C163" s="716"/>
      <c r="D163" s="706"/>
      <c r="E163" s="706"/>
    </row>
    <row r="164" spans="1:5" ht="19.5" customHeight="1" hidden="1">
      <c r="A164" s="723" t="s">
        <v>63</v>
      </c>
      <c r="B164" s="716"/>
      <c r="C164" s="716"/>
      <c r="D164" s="706"/>
      <c r="E164" s="706"/>
    </row>
    <row r="165" spans="1:5" ht="19.5" customHeight="1" hidden="1">
      <c r="A165" s="723" t="s">
        <v>407</v>
      </c>
      <c r="B165" s="716"/>
      <c r="C165" s="716"/>
      <c r="D165" s="706"/>
      <c r="E165" s="706"/>
    </row>
    <row r="166" spans="1:5" ht="19.5" customHeight="1">
      <c r="A166" s="715" t="s">
        <v>5</v>
      </c>
      <c r="B166" s="716">
        <f>SUM(B162:B165)</f>
        <v>1448312</v>
      </c>
      <c r="C166" s="716">
        <f>SUM(C162:C165)</f>
        <v>1448312</v>
      </c>
      <c r="D166" s="706">
        <f>SUM(D162:D165)</f>
        <v>0</v>
      </c>
      <c r="E166" s="706"/>
    </row>
    <row r="167" spans="1:5" s="52" customFormat="1" ht="19.5" customHeight="1">
      <c r="A167" s="717"/>
      <c r="B167" s="514"/>
      <c r="C167" s="514"/>
      <c r="D167" s="502"/>
      <c r="E167" s="502"/>
    </row>
    <row r="168" spans="1:3" ht="19.5" customHeight="1">
      <c r="A168" s="717"/>
      <c r="B168" s="718"/>
      <c r="C168" s="718"/>
    </row>
    <row r="169" spans="1:4" ht="19.5" customHeight="1">
      <c r="A169" s="717" t="s">
        <v>421</v>
      </c>
      <c r="B169" s="718">
        <f>B162+B137+B110+B111+B41+B42</f>
        <v>14798774</v>
      </c>
      <c r="C169" s="514">
        <f>C162+C137+C110+C111+C41+C42</f>
        <v>15448774</v>
      </c>
      <c r="D169" s="514">
        <f>D162+D137+D110+D111+D41+D42</f>
        <v>0</v>
      </c>
    </row>
    <row r="170" spans="1:3" ht="19.5" customHeight="1">
      <c r="A170" s="717"/>
      <c r="B170" s="718"/>
      <c r="C170" s="718"/>
    </row>
    <row r="171" spans="1:3" ht="19.5" customHeight="1">
      <c r="A171" s="717"/>
      <c r="B171" s="718"/>
      <c r="C171" s="718"/>
    </row>
    <row r="172" spans="1:3" ht="19.5" customHeight="1">
      <c r="A172" s="717"/>
      <c r="B172" s="718"/>
      <c r="C172" s="718"/>
    </row>
    <row r="173" spans="1:3" ht="19.5" customHeight="1">
      <c r="A173" s="717"/>
      <c r="B173" s="718"/>
      <c r="C173" s="718"/>
    </row>
    <row r="174" ht="19.5" customHeight="1"/>
    <row r="175" spans="1:3" s="703" customFormat="1" ht="19.5" customHeight="1">
      <c r="A175" s="732"/>
      <c r="B175" s="733"/>
      <c r="C175" s="734"/>
    </row>
    <row r="176" spans="1:2" s="703" customFormat="1" ht="19.5" customHeight="1">
      <c r="A176" s="717"/>
      <c r="B176" s="735"/>
    </row>
    <row r="177" spans="1:2" s="703" customFormat="1" ht="19.5" customHeight="1">
      <c r="A177" s="720"/>
      <c r="B177" s="735"/>
    </row>
    <row r="178" spans="1:7" s="703" customFormat="1" ht="19.5" customHeight="1">
      <c r="A178" s="717"/>
      <c r="B178" s="733"/>
      <c r="G178" s="25"/>
    </row>
    <row r="179" spans="1:7" s="703" customFormat="1" ht="19.5" customHeight="1">
      <c r="A179" s="732"/>
      <c r="B179" s="733"/>
      <c r="G179" s="25"/>
    </row>
    <row r="180" spans="1:7" s="703" customFormat="1" ht="19.5" customHeight="1">
      <c r="A180" s="131"/>
      <c r="B180" s="733"/>
      <c r="G180" s="514"/>
    </row>
    <row r="181" spans="1:7" s="703" customFormat="1" ht="19.5" customHeight="1">
      <c r="A181" s="131"/>
      <c r="B181" s="733"/>
      <c r="G181" s="514"/>
    </row>
    <row r="182" spans="1:7" s="703" customFormat="1" ht="19.5" customHeight="1">
      <c r="A182" s="131"/>
      <c r="B182" s="733"/>
      <c r="G182" s="25"/>
    </row>
    <row r="183" spans="1:7" s="703" customFormat="1" ht="19.5" customHeight="1">
      <c r="A183" s="131"/>
      <c r="B183" s="733"/>
      <c r="G183" s="25"/>
    </row>
    <row r="184" spans="1:2" s="703" customFormat="1" ht="19.5" customHeight="1">
      <c r="A184" s="131"/>
      <c r="B184" s="733"/>
    </row>
    <row r="185" spans="1:2" s="703" customFormat="1" ht="19.5" customHeight="1">
      <c r="A185" s="131"/>
      <c r="B185" s="733"/>
    </row>
    <row r="186" spans="1:2" s="703" customFormat="1" ht="19.5" customHeight="1">
      <c r="A186" s="736"/>
      <c r="B186" s="733"/>
    </row>
    <row r="187" spans="1:2" s="703" customFormat="1" ht="19.5" customHeight="1">
      <c r="A187" s="737"/>
      <c r="B187" s="733"/>
    </row>
    <row r="188" spans="1:3" s="703" customFormat="1" ht="19.5" customHeight="1">
      <c r="A188" s="25"/>
      <c r="B188" s="733"/>
      <c r="C188" s="734"/>
    </row>
    <row r="189" spans="1:3" s="703" customFormat="1" ht="19.5" customHeight="1">
      <c r="A189" s="738"/>
      <c r="B189" s="733"/>
      <c r="C189" s="734"/>
    </row>
    <row r="190" spans="1:3" s="703" customFormat="1" ht="19.5" customHeight="1">
      <c r="A190" s="25"/>
      <c r="B190" s="733"/>
      <c r="C190" s="734"/>
    </row>
    <row r="191" spans="1:3" s="703" customFormat="1" ht="19.5" customHeight="1">
      <c r="A191" s="131"/>
      <c r="B191" s="733"/>
      <c r="C191" s="734"/>
    </row>
    <row r="192" spans="1:3" s="703" customFormat="1" ht="19.5" customHeight="1">
      <c r="A192" s="720"/>
      <c r="B192" s="733"/>
      <c r="C192" s="734"/>
    </row>
    <row r="193" spans="1:7" s="703" customFormat="1" ht="19.5" customHeight="1">
      <c r="A193" s="720"/>
      <c r="B193" s="733"/>
      <c r="C193" s="734"/>
      <c r="G193" s="739"/>
    </row>
    <row r="194" spans="1:7" s="703" customFormat="1" ht="19.5" customHeight="1">
      <c r="A194" s="720"/>
      <c r="B194" s="733"/>
      <c r="C194" s="734"/>
      <c r="G194" s="739"/>
    </row>
    <row r="195" spans="1:7" s="703" customFormat="1" ht="19.5" customHeight="1">
      <c r="A195" s="720"/>
      <c r="B195" s="733"/>
      <c r="C195" s="734"/>
      <c r="G195" s="739"/>
    </row>
    <row r="196" spans="1:7" s="703" customFormat="1" ht="19.5" customHeight="1">
      <c r="A196" s="720"/>
      <c r="B196" s="733"/>
      <c r="C196" s="734"/>
      <c r="G196" s="739"/>
    </row>
    <row r="197" spans="1:7" s="703" customFormat="1" ht="19.5" customHeight="1">
      <c r="A197" s="740"/>
      <c r="B197" s="733"/>
      <c r="C197" s="734"/>
      <c r="G197" s="739"/>
    </row>
    <row r="198" spans="1:7" s="703" customFormat="1" ht="19.5" customHeight="1">
      <c r="A198" s="720"/>
      <c r="B198" s="733"/>
      <c r="C198" s="734"/>
      <c r="G198" s="739"/>
    </row>
    <row r="199" spans="1:7" s="703" customFormat="1" ht="19.5" customHeight="1">
      <c r="A199" s="720"/>
      <c r="B199" s="733"/>
      <c r="C199" s="734"/>
      <c r="G199" s="739"/>
    </row>
    <row r="200" spans="1:7" s="703" customFormat="1" ht="19.5" customHeight="1">
      <c r="A200" s="720"/>
      <c r="B200" s="733"/>
      <c r="C200" s="734"/>
      <c r="G200" s="739"/>
    </row>
    <row r="201" spans="1:3" s="703" customFormat="1" ht="19.5" customHeight="1">
      <c r="A201" s="720"/>
      <c r="B201" s="733"/>
      <c r="C201" s="734"/>
    </row>
    <row r="202" spans="1:3" s="703" customFormat="1" ht="19.5" customHeight="1">
      <c r="A202" s="720"/>
      <c r="B202" s="733"/>
      <c r="C202" s="734"/>
    </row>
    <row r="203" spans="1:3" s="703" customFormat="1" ht="19.5" customHeight="1">
      <c r="A203" s="720"/>
      <c r="B203" s="733"/>
      <c r="C203" s="734"/>
    </row>
    <row r="204" spans="1:3" s="703" customFormat="1" ht="19.5" customHeight="1">
      <c r="A204" s="720"/>
      <c r="B204" s="733"/>
      <c r="C204" s="734"/>
    </row>
    <row r="205" spans="1:3" s="703" customFormat="1" ht="19.5" customHeight="1">
      <c r="A205" s="720"/>
      <c r="B205" s="733"/>
      <c r="C205" s="734"/>
    </row>
    <row r="206" spans="1:3" s="703" customFormat="1" ht="19.5" customHeight="1">
      <c r="A206" s="717"/>
      <c r="B206" s="733"/>
      <c r="C206" s="734"/>
    </row>
    <row r="207" spans="1:3" s="703" customFormat="1" ht="19.5" customHeight="1">
      <c r="A207" s="720"/>
      <c r="B207" s="733"/>
      <c r="C207" s="734"/>
    </row>
    <row r="208" spans="1:3" s="703" customFormat="1" ht="19.5" customHeight="1">
      <c r="A208" s="720"/>
      <c r="B208" s="733"/>
      <c r="C208" s="734"/>
    </row>
    <row r="209" spans="1:3" s="703" customFormat="1" ht="19.5" customHeight="1">
      <c r="A209" s="740"/>
      <c r="B209" s="733"/>
      <c r="C209" s="734"/>
    </row>
    <row r="210" spans="1:3" s="703" customFormat="1" ht="19.5" customHeight="1">
      <c r="A210" s="740"/>
      <c r="B210" s="733"/>
      <c r="C210" s="734"/>
    </row>
    <row r="211" spans="1:2" s="703" customFormat="1" ht="19.5" customHeight="1">
      <c r="A211" s="720"/>
      <c r="B211" s="733"/>
    </row>
    <row r="212" spans="1:2" s="703" customFormat="1" ht="19.5" customHeight="1">
      <c r="A212" s="720"/>
      <c r="B212" s="733"/>
    </row>
    <row r="213" spans="1:2" s="703" customFormat="1" ht="19.5" customHeight="1">
      <c r="A213" s="720"/>
      <c r="B213" s="733"/>
    </row>
    <row r="214" spans="1:2" s="703" customFormat="1" ht="19.5" customHeight="1">
      <c r="A214" s="720"/>
      <c r="B214" s="733"/>
    </row>
    <row r="215" spans="1:2" s="703" customFormat="1" ht="19.5" customHeight="1">
      <c r="A215" s="720"/>
      <c r="B215" s="733"/>
    </row>
    <row r="216" spans="1:3" s="703" customFormat="1" ht="19.5" customHeight="1">
      <c r="A216" s="702"/>
      <c r="B216" s="702"/>
      <c r="C216" s="702"/>
    </row>
    <row r="217" spans="1:3" s="703" customFormat="1" ht="19.5" customHeight="1">
      <c r="A217" s="717"/>
      <c r="B217" s="702"/>
      <c r="C217" s="702"/>
    </row>
    <row r="218" spans="1:3" s="703" customFormat="1" ht="19.5" customHeight="1">
      <c r="A218" s="717"/>
      <c r="B218" s="702"/>
      <c r="C218" s="702"/>
    </row>
    <row r="219" spans="1:3" s="703" customFormat="1" ht="19.5" customHeight="1">
      <c r="A219" s="25"/>
      <c r="B219" s="739"/>
      <c r="C219" s="702"/>
    </row>
    <row r="220" spans="1:3" s="703" customFormat="1" ht="19.5" customHeight="1">
      <c r="A220" s="25"/>
      <c r="B220" s="741"/>
      <c r="C220" s="25"/>
    </row>
    <row r="221" spans="1:3" s="703" customFormat="1" ht="19.5" customHeight="1">
      <c r="A221" s="25"/>
      <c r="B221" s="274"/>
      <c r="C221" s="25"/>
    </row>
    <row r="222" spans="1:3" s="703" customFormat="1" ht="19.5" customHeight="1">
      <c r="A222" s="131"/>
      <c r="B222" s="274"/>
      <c r="C222" s="25"/>
    </row>
    <row r="223" spans="1:3" s="703" customFormat="1" ht="19.5" customHeight="1">
      <c r="A223" s="131"/>
      <c r="B223" s="741"/>
      <c r="C223" s="25"/>
    </row>
    <row r="224" spans="1:3" s="703" customFormat="1" ht="19.5" customHeight="1">
      <c r="A224" s="131"/>
      <c r="B224" s="741"/>
      <c r="C224" s="25"/>
    </row>
    <row r="225" spans="1:3" s="703" customFormat="1" ht="19.5" customHeight="1">
      <c r="A225" s="131"/>
      <c r="B225" s="274"/>
      <c r="C225" s="25"/>
    </row>
    <row r="226" spans="1:3" s="703" customFormat="1" ht="19.5" customHeight="1">
      <c r="A226" s="131"/>
      <c r="B226" s="274"/>
      <c r="C226" s="25"/>
    </row>
    <row r="227" spans="1:3" s="703" customFormat="1" ht="19.5" customHeight="1">
      <c r="A227" s="131"/>
      <c r="B227" s="274"/>
      <c r="C227" s="25"/>
    </row>
    <row r="228" spans="1:3" s="703" customFormat="1" ht="19.5" customHeight="1">
      <c r="A228" s="131"/>
      <c r="B228" s="274"/>
      <c r="C228" s="25"/>
    </row>
    <row r="229" spans="1:3" s="703" customFormat="1" ht="19.5" customHeight="1">
      <c r="A229" s="131"/>
      <c r="B229" s="274"/>
      <c r="C229" s="25"/>
    </row>
    <row r="230" spans="1:3" s="703" customFormat="1" ht="19.5" customHeight="1">
      <c r="A230" s="52"/>
      <c r="B230" s="52"/>
      <c r="C230" s="25"/>
    </row>
    <row r="231" spans="1:3" s="703" customFormat="1" ht="19.5" customHeight="1">
      <c r="A231" s="717"/>
      <c r="B231" s="52"/>
      <c r="C231" s="25"/>
    </row>
    <row r="232" spans="1:3" s="703" customFormat="1" ht="19.5" customHeight="1">
      <c r="A232" s="717"/>
      <c r="B232" s="742"/>
      <c r="C232" s="25"/>
    </row>
    <row r="233" spans="1:3" ht="19.5" customHeight="1">
      <c r="A233" s="131"/>
      <c r="B233" s="741"/>
      <c r="C233" s="514"/>
    </row>
    <row r="234" spans="1:3" ht="19.5" customHeight="1">
      <c r="A234" s="131"/>
      <c r="B234" s="741"/>
      <c r="C234" s="514"/>
    </row>
    <row r="235" spans="1:3" s="703" customFormat="1" ht="19.5" customHeight="1">
      <c r="A235" s="131"/>
      <c r="B235" s="742"/>
      <c r="C235" s="25"/>
    </row>
    <row r="236" spans="1:3" s="703" customFormat="1" ht="19.5" customHeight="1">
      <c r="A236" s="131"/>
      <c r="B236" s="742"/>
      <c r="C236" s="25"/>
    </row>
    <row r="237" spans="1:2" s="703" customFormat="1" ht="19.5" customHeight="1">
      <c r="A237" s="131"/>
      <c r="B237" s="743"/>
    </row>
    <row r="238" spans="1:2" s="703" customFormat="1" ht="19.5" customHeight="1">
      <c r="A238" s="131"/>
      <c r="B238" s="743"/>
    </row>
    <row r="239" spans="1:2" s="703" customFormat="1" ht="19.5" customHeight="1">
      <c r="A239" s="25"/>
      <c r="B239" s="743"/>
    </row>
    <row r="240" spans="1:2" s="703" customFormat="1" ht="19.5" customHeight="1">
      <c r="A240" s="25"/>
      <c r="B240" s="744"/>
    </row>
    <row r="241" spans="1:2" s="703" customFormat="1" ht="19.5" customHeight="1">
      <c r="A241" s="25"/>
      <c r="B241" s="743"/>
    </row>
    <row r="242" spans="1:2" s="703" customFormat="1" ht="19.5" customHeight="1">
      <c r="A242" s="25"/>
      <c r="B242" s="744"/>
    </row>
    <row r="243" spans="1:2" s="703" customFormat="1" ht="19.5" customHeight="1">
      <c r="A243" s="25"/>
      <c r="B243" s="744"/>
    </row>
    <row r="244" spans="1:2" s="703" customFormat="1" ht="19.5" customHeight="1">
      <c r="A244" s="25"/>
      <c r="B244" s="744"/>
    </row>
    <row r="245" spans="1:2" s="703" customFormat="1" ht="19.5" customHeight="1">
      <c r="A245" s="717"/>
      <c r="B245" s="702"/>
    </row>
    <row r="246" spans="1:3" s="703" customFormat="1" ht="19.5" customHeight="1">
      <c r="A246" s="131"/>
      <c r="B246" s="739"/>
      <c r="C246" s="702"/>
    </row>
    <row r="247" spans="1:3" s="703" customFormat="1" ht="19.5" customHeight="1">
      <c r="A247" s="131"/>
      <c r="B247" s="739"/>
      <c r="C247" s="702"/>
    </row>
    <row r="248" spans="1:3" s="703" customFormat="1" ht="19.5" customHeight="1">
      <c r="A248" s="131"/>
      <c r="B248" s="739"/>
      <c r="C248" s="702"/>
    </row>
    <row r="249" spans="1:3" s="703" customFormat="1" ht="19.5" customHeight="1">
      <c r="A249" s="131"/>
      <c r="B249" s="739"/>
      <c r="C249" s="702"/>
    </row>
    <row r="250" spans="1:3" s="703" customFormat="1" ht="19.5" customHeight="1">
      <c r="A250" s="131"/>
      <c r="B250" s="739"/>
      <c r="C250" s="702"/>
    </row>
    <row r="251" spans="1:3" s="703" customFormat="1" ht="19.5" customHeight="1">
      <c r="A251" s="717"/>
      <c r="B251" s="739"/>
      <c r="C251" s="702"/>
    </row>
    <row r="252" spans="1:3" s="703" customFormat="1" ht="19.5" customHeight="1">
      <c r="A252" s="717"/>
      <c r="B252" s="739"/>
      <c r="C252" s="702"/>
    </row>
    <row r="253" spans="1:3" s="703" customFormat="1" ht="19.5" customHeight="1">
      <c r="A253" s="717"/>
      <c r="B253" s="739"/>
      <c r="C253" s="702"/>
    </row>
    <row r="254" s="703" customFormat="1" ht="19.5" customHeight="1">
      <c r="C254" s="702"/>
    </row>
    <row r="255" s="703" customFormat="1" ht="19.5" customHeight="1">
      <c r="C255" s="702"/>
    </row>
    <row r="256" s="703" customFormat="1" ht="19.5" customHeight="1">
      <c r="C256" s="702"/>
    </row>
    <row r="257" s="703" customFormat="1" ht="19.5" customHeight="1">
      <c r="C257" s="702"/>
    </row>
    <row r="258" spans="1:3" s="703" customFormat="1" ht="19.5" customHeight="1">
      <c r="A258" s="745"/>
      <c r="C258" s="702"/>
    </row>
    <row r="259" s="703" customFormat="1" ht="19.5" customHeight="1">
      <c r="C259" s="702"/>
    </row>
    <row r="260" s="703" customFormat="1" ht="19.5" customHeight="1">
      <c r="C260" s="702"/>
    </row>
    <row r="261" spans="2:3" s="703" customFormat="1" ht="19.5" customHeight="1">
      <c r="B261" s="702"/>
      <c r="C261" s="702"/>
    </row>
    <row r="262" spans="2:3" s="703" customFormat="1" ht="19.5" customHeight="1">
      <c r="B262" s="702"/>
      <c r="C262" s="702"/>
    </row>
    <row r="263" spans="2:3" s="703" customFormat="1" ht="19.5" customHeight="1">
      <c r="B263" s="702"/>
      <c r="C263" s="702"/>
    </row>
    <row r="264" spans="2:3" s="703" customFormat="1" ht="19.5" customHeight="1">
      <c r="B264" s="702"/>
      <c r="C264" s="702"/>
    </row>
    <row r="265" spans="2:3" s="703" customFormat="1" ht="19.5" customHeight="1">
      <c r="B265" s="702"/>
      <c r="C265" s="702"/>
    </row>
    <row r="266" spans="1:3" s="703" customFormat="1" ht="19.5" customHeight="1">
      <c r="A266" s="134"/>
      <c r="B266" s="702"/>
      <c r="C266" s="702"/>
    </row>
    <row r="267" spans="1:3" s="703" customFormat="1" ht="19.5" customHeight="1">
      <c r="A267" s="134"/>
      <c r="B267" s="702"/>
      <c r="C267" s="702"/>
    </row>
    <row r="268" spans="1:3" s="703" customFormat="1" ht="19.5" customHeight="1">
      <c r="A268" s="134"/>
      <c r="B268" s="702"/>
      <c r="C268" s="702"/>
    </row>
    <row r="269" spans="1:3" s="703" customFormat="1" ht="19.5" customHeight="1">
      <c r="A269" s="134"/>
      <c r="B269" s="702"/>
      <c r="C269" s="702"/>
    </row>
    <row r="270" spans="1:3" s="703" customFormat="1" ht="19.5" customHeight="1">
      <c r="A270" s="134"/>
      <c r="B270" s="702"/>
      <c r="C270" s="702"/>
    </row>
    <row r="271" spans="1:3" s="703" customFormat="1" ht="19.5" customHeight="1">
      <c r="A271" s="134"/>
      <c r="B271" s="702"/>
      <c r="C271" s="702"/>
    </row>
    <row r="272" spans="1:3" s="703" customFormat="1" ht="19.5" customHeight="1">
      <c r="A272" s="134"/>
      <c r="B272" s="702"/>
      <c r="C272" s="702"/>
    </row>
    <row r="273" spans="1:3" s="703" customFormat="1" ht="19.5" customHeight="1">
      <c r="A273" s="134"/>
      <c r="B273" s="702"/>
      <c r="C273" s="702"/>
    </row>
    <row r="274" spans="1:3" s="703" customFormat="1" ht="19.5" customHeight="1">
      <c r="A274" s="134"/>
      <c r="B274" s="702"/>
      <c r="C274" s="702"/>
    </row>
    <row r="275" spans="1:3" s="703" customFormat="1" ht="19.5" customHeight="1">
      <c r="A275" s="134"/>
      <c r="B275" s="702"/>
      <c r="C275" s="702"/>
    </row>
    <row r="276" spans="1:3" s="703" customFormat="1" ht="19.5" customHeight="1">
      <c r="A276" s="134"/>
      <c r="B276" s="702"/>
      <c r="C276" s="702"/>
    </row>
    <row r="277" spans="1:3" s="703" customFormat="1" ht="19.5" customHeight="1">
      <c r="A277" s="134"/>
      <c r="B277" s="702"/>
      <c r="C277" s="702"/>
    </row>
    <row r="278" spans="1:3" s="703" customFormat="1" ht="19.5" customHeight="1">
      <c r="A278" s="134"/>
      <c r="B278" s="702"/>
      <c r="C278" s="702"/>
    </row>
    <row r="279" spans="1:3" s="703" customFormat="1" ht="19.5" customHeight="1">
      <c r="A279" s="134"/>
      <c r="B279" s="702"/>
      <c r="C279" s="702"/>
    </row>
    <row r="280" spans="1:3" s="703" customFormat="1" ht="19.5" customHeight="1">
      <c r="A280" s="134"/>
      <c r="B280" s="702"/>
      <c r="C280" s="702"/>
    </row>
    <row r="281" spans="1:3" s="703" customFormat="1" ht="19.5" customHeight="1">
      <c r="A281" s="134"/>
      <c r="B281" s="702"/>
      <c r="C281" s="702"/>
    </row>
    <row r="282" spans="1:3" s="703" customFormat="1" ht="19.5" customHeight="1">
      <c r="A282" s="134"/>
      <c r="B282" s="702"/>
      <c r="C282" s="702"/>
    </row>
    <row r="283" spans="1:3" s="703" customFormat="1" ht="19.5" customHeight="1">
      <c r="A283" s="52"/>
      <c r="B283" s="702"/>
      <c r="C283" s="702"/>
    </row>
    <row r="284" spans="1:3" s="703" customFormat="1" ht="19.5" customHeight="1">
      <c r="A284" s="52"/>
      <c r="B284" s="702"/>
      <c r="C284" s="702"/>
    </row>
    <row r="285" spans="1:3" s="703" customFormat="1" ht="19.5" customHeight="1">
      <c r="A285" s="52"/>
      <c r="B285" s="702"/>
      <c r="C285" s="702"/>
    </row>
    <row r="286" spans="1:3" s="703" customFormat="1" ht="19.5" customHeight="1">
      <c r="A286" s="52"/>
      <c r="B286" s="52"/>
      <c r="C286" s="52"/>
    </row>
    <row r="287" spans="1:3" s="703" customFormat="1" ht="19.5" customHeight="1">
      <c r="A287" s="717"/>
      <c r="B287" s="52"/>
      <c r="C287" s="52"/>
    </row>
    <row r="288" spans="1:3" s="703" customFormat="1" ht="19.5" customHeight="1">
      <c r="A288" s="717"/>
      <c r="B288" s="52"/>
      <c r="C288" s="52"/>
    </row>
    <row r="289" spans="1:3" s="703" customFormat="1" ht="19.5" customHeight="1">
      <c r="A289" s="25"/>
      <c r="B289" s="52"/>
      <c r="C289" s="52"/>
    </row>
    <row r="290" spans="1:3" s="703" customFormat="1" ht="19.5" customHeight="1">
      <c r="A290" s="25"/>
      <c r="B290" s="52"/>
      <c r="C290" s="52"/>
    </row>
    <row r="291" spans="1:3" s="703" customFormat="1" ht="19.5" customHeight="1">
      <c r="A291" s="25"/>
      <c r="B291" s="52"/>
      <c r="C291" s="52"/>
    </row>
    <row r="292" spans="1:3" s="703" customFormat="1" ht="19.5" customHeight="1">
      <c r="A292" s="131"/>
      <c r="B292" s="52"/>
      <c r="C292" s="52"/>
    </row>
    <row r="293" spans="1:3" s="703" customFormat="1" ht="19.5" customHeight="1">
      <c r="A293" s="131"/>
      <c r="B293" s="52"/>
      <c r="C293" s="52"/>
    </row>
    <row r="294" spans="1:3" s="703" customFormat="1" ht="19.5" customHeight="1">
      <c r="A294" s="131"/>
      <c r="B294" s="52"/>
      <c r="C294" s="52"/>
    </row>
    <row r="295" spans="1:3" s="703" customFormat="1" ht="19.5" customHeight="1">
      <c r="A295" s="131"/>
      <c r="B295" s="52"/>
      <c r="C295" s="52"/>
    </row>
    <row r="296" spans="1:3" s="703" customFormat="1" ht="19.5" customHeight="1">
      <c r="A296" s="746"/>
      <c r="B296" s="52"/>
      <c r="C296" s="52"/>
    </row>
    <row r="297" spans="1:3" s="703" customFormat="1" ht="19.5" customHeight="1">
      <c r="A297" s="746"/>
      <c r="B297" s="52"/>
      <c r="C297" s="52"/>
    </row>
    <row r="298" spans="1:3" s="703" customFormat="1" ht="19.5" customHeight="1">
      <c r="A298" s="52"/>
      <c r="B298" s="52"/>
      <c r="C298" s="52"/>
    </row>
    <row r="299" spans="1:3" s="703" customFormat="1" ht="19.5" customHeight="1">
      <c r="A299" s="52"/>
      <c r="B299" s="52"/>
      <c r="C299" s="52"/>
    </row>
    <row r="300" spans="1:3" s="703" customFormat="1" ht="19.5" customHeight="1">
      <c r="A300" s="52"/>
      <c r="B300" s="52"/>
      <c r="C300" s="52"/>
    </row>
    <row r="301" spans="1:3" s="703" customFormat="1" ht="19.5" customHeight="1">
      <c r="A301" s="52"/>
      <c r="B301" s="52"/>
      <c r="C301" s="52"/>
    </row>
    <row r="302" spans="1:3" s="703" customFormat="1" ht="19.5" customHeight="1">
      <c r="A302" s="52"/>
      <c r="B302" s="52"/>
      <c r="C302" s="52"/>
    </row>
    <row r="303" spans="1:3" s="703" customFormat="1" ht="19.5" customHeight="1">
      <c r="A303" s="52"/>
      <c r="B303" s="52"/>
      <c r="C303" s="52"/>
    </row>
    <row r="304" spans="1:3" s="703" customFormat="1" ht="19.5" customHeight="1">
      <c r="A304" s="52"/>
      <c r="B304" s="52"/>
      <c r="C304" s="52"/>
    </row>
    <row r="305" spans="1:3" s="703" customFormat="1" ht="19.5" customHeight="1">
      <c r="A305" s="52"/>
      <c r="B305" s="52"/>
      <c r="C305" s="52"/>
    </row>
    <row r="306" spans="1:3" s="703" customFormat="1" ht="19.5" customHeight="1">
      <c r="A306" s="52"/>
      <c r="B306" s="52"/>
      <c r="C306" s="52"/>
    </row>
    <row r="307" spans="1:3" s="703" customFormat="1" ht="19.5" customHeight="1">
      <c r="A307" s="52"/>
      <c r="B307" s="52"/>
      <c r="C307" s="52"/>
    </row>
    <row r="308" spans="1:3" s="703" customFormat="1" ht="19.5" customHeight="1">
      <c r="A308" s="52"/>
      <c r="B308" s="52"/>
      <c r="C308" s="52"/>
    </row>
    <row r="309" spans="1:3" s="703" customFormat="1" ht="19.5" customHeight="1">
      <c r="A309" s="52"/>
      <c r="B309" s="52"/>
      <c r="C309" s="52"/>
    </row>
    <row r="310" spans="1:3" s="703" customFormat="1" ht="19.5" customHeight="1">
      <c r="A310" s="52"/>
      <c r="B310" s="733"/>
      <c r="C310" s="25"/>
    </row>
    <row r="311" spans="1:3" s="703" customFormat="1" ht="19.5" customHeight="1">
      <c r="A311" s="52"/>
      <c r="B311" s="733"/>
      <c r="C311" s="25"/>
    </row>
    <row r="312" spans="1:3" s="703" customFormat="1" ht="19.5" customHeight="1">
      <c r="A312" s="52"/>
      <c r="B312" s="52"/>
      <c r="C312" s="52"/>
    </row>
    <row r="313" spans="1:3" s="703" customFormat="1" ht="19.5" customHeight="1">
      <c r="A313" s="747"/>
      <c r="B313" s="52"/>
      <c r="C313" s="52"/>
    </row>
    <row r="314" spans="1:3" s="703" customFormat="1" ht="19.5" customHeight="1">
      <c r="A314" s="717"/>
      <c r="B314" s="52"/>
      <c r="C314" s="52"/>
    </row>
    <row r="315" spans="1:3" s="703" customFormat="1" ht="19.5" customHeight="1">
      <c r="A315" s="25"/>
      <c r="B315" s="274"/>
      <c r="C315" s="25"/>
    </row>
    <row r="316" spans="1:3" s="703" customFormat="1" ht="19.5" customHeight="1">
      <c r="A316" s="25"/>
      <c r="B316" s="274"/>
      <c r="C316" s="25"/>
    </row>
    <row r="317" spans="1:3" s="703" customFormat="1" ht="19.5" customHeight="1">
      <c r="A317" s="25"/>
      <c r="B317" s="274"/>
      <c r="C317" s="25"/>
    </row>
    <row r="318" spans="1:3" s="703" customFormat="1" ht="19.5" customHeight="1">
      <c r="A318" s="131"/>
      <c r="B318" s="274"/>
      <c r="C318" s="25"/>
    </row>
    <row r="319" spans="1:3" s="703" customFormat="1" ht="19.5" customHeight="1">
      <c r="A319" s="131"/>
      <c r="B319" s="25"/>
      <c r="C319" s="25"/>
    </row>
    <row r="320" spans="1:3" s="703" customFormat="1" ht="19.5" customHeight="1">
      <c r="A320" s="131"/>
      <c r="B320" s="25"/>
      <c r="C320" s="25"/>
    </row>
    <row r="321" spans="1:3" s="703" customFormat="1" ht="19.5" customHeight="1">
      <c r="A321" s="131"/>
      <c r="B321" s="52"/>
      <c r="C321" s="52"/>
    </row>
    <row r="322" spans="1:3" s="703" customFormat="1" ht="19.5" customHeight="1">
      <c r="A322" s="131"/>
      <c r="B322" s="52"/>
      <c r="C322" s="52"/>
    </row>
    <row r="323" spans="1:3" ht="19.5" customHeight="1">
      <c r="A323" s="131"/>
      <c r="B323" s="52"/>
      <c r="C323" s="52"/>
    </row>
    <row r="324" spans="1:3" ht="19.5" customHeight="1">
      <c r="A324" s="25"/>
      <c r="B324" s="52"/>
      <c r="C324" s="52"/>
    </row>
    <row r="325" spans="1:3" ht="19.5" customHeight="1">
      <c r="A325" s="25"/>
      <c r="B325" s="52"/>
      <c r="C325" s="52"/>
    </row>
    <row r="326" spans="1:3" ht="19.5" customHeight="1">
      <c r="A326" s="25"/>
      <c r="B326" s="52"/>
      <c r="C326" s="52"/>
    </row>
    <row r="327" spans="1:3" ht="19.5" customHeight="1">
      <c r="A327" s="25"/>
      <c r="B327" s="52"/>
      <c r="C327" s="52"/>
    </row>
    <row r="328" spans="1:3" ht="19.5" customHeight="1">
      <c r="A328" s="25"/>
      <c r="B328" s="52"/>
      <c r="C328" s="52"/>
    </row>
    <row r="329" spans="1:3" ht="19.5" customHeight="1">
      <c r="A329" s="25"/>
      <c r="B329" s="52"/>
      <c r="C329" s="52"/>
    </row>
    <row r="330" spans="1:3" ht="19.5" customHeight="1">
      <c r="A330" s="52"/>
      <c r="B330" s="52"/>
      <c r="C330" s="52"/>
    </row>
    <row r="331" spans="1:3" ht="19.5" customHeight="1">
      <c r="A331" s="52"/>
      <c r="B331" s="52"/>
      <c r="C331" s="52"/>
    </row>
    <row r="332" spans="1:3" ht="19.5" customHeight="1">
      <c r="A332" s="52"/>
      <c r="B332" s="52"/>
      <c r="C332" s="52"/>
    </row>
    <row r="333" spans="1:3" ht="19.5" customHeight="1">
      <c r="A333" s="52"/>
      <c r="B333" s="52"/>
      <c r="C333" s="52"/>
    </row>
    <row r="334" spans="1:3" ht="19.5" customHeight="1">
      <c r="A334" s="52"/>
      <c r="B334" s="52"/>
      <c r="C334" s="52"/>
    </row>
    <row r="335" spans="1:3" ht="19.5" customHeight="1">
      <c r="A335" s="52"/>
      <c r="B335" s="52"/>
      <c r="C335" s="52"/>
    </row>
    <row r="336" spans="1:3" ht="19.5" customHeight="1">
      <c r="A336" s="52"/>
      <c r="B336" s="25"/>
      <c r="C336" s="52"/>
    </row>
    <row r="337" spans="1:3" ht="19.5" customHeight="1">
      <c r="A337" s="52"/>
      <c r="B337" s="25"/>
      <c r="C337" s="25"/>
    </row>
    <row r="338" spans="1:3" ht="19.5" customHeight="1">
      <c r="A338" s="52"/>
      <c r="B338" s="52"/>
      <c r="C338" s="25"/>
    </row>
    <row r="339" spans="1:3" ht="19.5" customHeight="1">
      <c r="A339" s="52"/>
      <c r="B339" s="52"/>
      <c r="C339" s="52"/>
    </row>
    <row r="340" spans="1:3" ht="19.5" customHeight="1">
      <c r="A340" s="52"/>
      <c r="B340" s="52"/>
      <c r="C340" s="52"/>
    </row>
    <row r="341" spans="1:3" ht="19.5" customHeight="1">
      <c r="A341" s="52"/>
      <c r="B341" s="25"/>
      <c r="C341" s="25"/>
    </row>
    <row r="342" spans="1:3" ht="19.5" customHeight="1">
      <c r="A342" s="52"/>
      <c r="B342" s="25"/>
      <c r="C342" s="25"/>
    </row>
    <row r="343" spans="1:3" ht="19.5" customHeight="1">
      <c r="A343" s="52"/>
      <c r="B343" s="274"/>
      <c r="C343" s="274"/>
    </row>
    <row r="344" spans="1:3" ht="19.5" customHeight="1">
      <c r="A344" s="52"/>
      <c r="B344" s="274"/>
      <c r="C344" s="274"/>
    </row>
    <row r="345" spans="1:3" ht="19.5" customHeight="1">
      <c r="A345" s="52"/>
      <c r="B345" s="25"/>
      <c r="C345" s="25"/>
    </row>
    <row r="346" spans="1:3" ht="19.5" customHeight="1">
      <c r="A346" s="52"/>
      <c r="B346" s="25"/>
      <c r="C346" s="25"/>
    </row>
    <row r="347" spans="1:3" ht="19.5" customHeight="1">
      <c r="A347" s="52"/>
      <c r="B347" s="274"/>
      <c r="C347" s="25"/>
    </row>
    <row r="348" spans="1:3" ht="19.5" customHeight="1">
      <c r="A348" s="52"/>
      <c r="B348" s="274"/>
      <c r="C348" s="25"/>
    </row>
    <row r="349" spans="1:3" ht="19.5" customHeight="1">
      <c r="A349" s="52"/>
      <c r="B349" s="274"/>
      <c r="C349" s="25"/>
    </row>
    <row r="350" spans="1:3" ht="19.5" customHeight="1">
      <c r="A350" s="52"/>
      <c r="B350" s="274"/>
      <c r="C350" s="274"/>
    </row>
    <row r="351" spans="1:3" ht="19.5" customHeight="1">
      <c r="A351" s="52"/>
      <c r="B351" s="274"/>
      <c r="C351" s="274"/>
    </row>
    <row r="352" spans="1:3" ht="19.5" customHeight="1">
      <c r="A352" s="52"/>
      <c r="B352" s="274"/>
      <c r="C352" s="274"/>
    </row>
    <row r="353" spans="1:3" ht="19.5" customHeight="1">
      <c r="A353" s="52"/>
      <c r="B353" s="52"/>
      <c r="C353" s="52"/>
    </row>
    <row r="354" spans="1:3" ht="19.5" customHeight="1">
      <c r="A354" s="131"/>
      <c r="B354" s="52"/>
      <c r="C354" s="52"/>
    </row>
    <row r="355" spans="1:3" ht="19.5" customHeight="1">
      <c r="A355" s="131"/>
      <c r="B355" s="52"/>
      <c r="C355" s="52"/>
    </row>
    <row r="356" spans="1:3" ht="19.5" customHeight="1">
      <c r="A356" s="131"/>
      <c r="B356" s="52"/>
      <c r="C356" s="52"/>
    </row>
    <row r="357" spans="1:3" ht="19.5" customHeight="1">
      <c r="A357" s="131"/>
      <c r="B357" s="52"/>
      <c r="C357" s="52"/>
    </row>
    <row r="358" spans="1:3" ht="19.5" customHeight="1">
      <c r="A358" s="131"/>
      <c r="B358" s="52"/>
      <c r="C358" s="52"/>
    </row>
    <row r="359" spans="1:3" ht="19.5" customHeight="1">
      <c r="A359" s="131"/>
      <c r="B359" s="52"/>
      <c r="C359" s="52"/>
    </row>
    <row r="360" spans="1:3" ht="19.5" customHeight="1">
      <c r="A360" s="717"/>
      <c r="B360" s="52"/>
      <c r="C360" s="52"/>
    </row>
    <row r="361" spans="1:3" ht="19.5" customHeight="1">
      <c r="A361" s="717"/>
      <c r="B361" s="52"/>
      <c r="C361" s="52"/>
    </row>
    <row r="362" spans="1:3" ht="19.5" customHeight="1">
      <c r="A362" s="717"/>
      <c r="B362" s="52"/>
      <c r="C362" s="52"/>
    </row>
    <row r="363" spans="1:3" ht="19.5" customHeight="1">
      <c r="A363" s="52"/>
      <c r="B363" s="52"/>
      <c r="C363" s="52"/>
    </row>
    <row r="364" spans="1:3" ht="19.5" customHeight="1">
      <c r="A364" s="52"/>
      <c r="B364" s="52"/>
      <c r="C364" s="52"/>
    </row>
    <row r="365" spans="1:3" ht="19.5" customHeight="1">
      <c r="A365" s="25"/>
      <c r="B365" s="52"/>
      <c r="C365" s="52"/>
    </row>
    <row r="366" spans="1:3" ht="19.5" customHeight="1">
      <c r="A366" s="25"/>
      <c r="B366" s="52"/>
      <c r="C366" s="52"/>
    </row>
    <row r="367" spans="1:3" ht="19.5" customHeight="1">
      <c r="A367" s="25"/>
      <c r="B367" s="52"/>
      <c r="C367" s="52"/>
    </row>
    <row r="368" spans="1:3" ht="19.5" customHeight="1">
      <c r="A368" s="25"/>
      <c r="B368" s="52"/>
      <c r="C368" s="52"/>
    </row>
    <row r="369" spans="1:3" ht="19.5" customHeight="1">
      <c r="A369" s="25"/>
      <c r="B369" s="52"/>
      <c r="C369" s="52"/>
    </row>
    <row r="370" spans="1:3" ht="19.5" customHeight="1">
      <c r="A370" s="25"/>
      <c r="B370" s="52"/>
      <c r="C370" s="52"/>
    </row>
    <row r="371" spans="1:3" ht="19.5" customHeight="1">
      <c r="A371" s="25"/>
      <c r="B371" s="52"/>
      <c r="C371" s="52"/>
    </row>
    <row r="372" spans="1:3" ht="19.5" customHeight="1">
      <c r="A372" s="25"/>
      <c r="B372" s="52"/>
      <c r="C372" s="52"/>
    </row>
    <row r="373" spans="1:3" ht="19.5" customHeight="1">
      <c r="A373" s="25"/>
      <c r="B373" s="52"/>
      <c r="C373" s="52"/>
    </row>
    <row r="374" spans="1:3" ht="19.5" customHeight="1">
      <c r="A374" s="25"/>
      <c r="B374" s="52"/>
      <c r="C374" s="52"/>
    </row>
    <row r="375" spans="1:3" ht="19.5" customHeight="1">
      <c r="A375" s="25"/>
      <c r="B375" s="52"/>
      <c r="C375" s="52"/>
    </row>
    <row r="376" spans="1:3" ht="19.5" customHeight="1">
      <c r="A376" s="25"/>
      <c r="B376" s="52"/>
      <c r="C376" s="52"/>
    </row>
    <row r="377" spans="1:3" ht="19.5" customHeight="1">
      <c r="A377" s="25"/>
      <c r="B377" s="274"/>
      <c r="C377" s="274"/>
    </row>
    <row r="378" spans="1:3" ht="19.5" customHeight="1">
      <c r="A378" s="25"/>
      <c r="B378" s="274"/>
      <c r="C378" s="25"/>
    </row>
    <row r="379" spans="1:3" ht="19.5" customHeight="1">
      <c r="A379" s="25"/>
      <c r="B379" s="274"/>
      <c r="C379" s="274"/>
    </row>
    <row r="380" spans="1:3" ht="19.5" customHeight="1">
      <c r="A380" s="25"/>
      <c r="B380" s="274"/>
      <c r="C380" s="274"/>
    </row>
    <row r="381" spans="1:3" ht="19.5" customHeight="1">
      <c r="A381" s="25"/>
      <c r="B381" s="274"/>
      <c r="C381" s="274"/>
    </row>
    <row r="382" spans="1:3" ht="19.5" customHeight="1">
      <c r="A382" s="25"/>
      <c r="B382" s="274"/>
      <c r="C382" s="274"/>
    </row>
    <row r="383" spans="1:3" ht="19.5" customHeight="1">
      <c r="A383" s="25"/>
      <c r="B383" s="274"/>
      <c r="C383" s="25"/>
    </row>
    <row r="384" spans="1:3" ht="19.5" customHeight="1">
      <c r="A384" s="25"/>
      <c r="B384" s="274"/>
      <c r="C384" s="25"/>
    </row>
    <row r="385" spans="1:3" ht="19.5" customHeight="1">
      <c r="A385" s="25"/>
      <c r="B385" s="274"/>
      <c r="C385" s="274"/>
    </row>
    <row r="386" spans="1:3" ht="19.5" customHeight="1">
      <c r="A386" s="25"/>
      <c r="B386" s="52"/>
      <c r="C386" s="52"/>
    </row>
    <row r="387" spans="1:3" ht="19.5" customHeight="1">
      <c r="A387" s="25"/>
      <c r="B387" s="52"/>
      <c r="C387" s="52"/>
    </row>
    <row r="388" spans="1:3" ht="19.5" customHeight="1">
      <c r="A388" s="25"/>
      <c r="B388" s="25"/>
      <c r="C388" s="25"/>
    </row>
    <row r="389" spans="1:3" ht="19.5" customHeight="1">
      <c r="A389" s="25"/>
      <c r="B389" s="25"/>
      <c r="C389" s="25"/>
    </row>
    <row r="390" spans="1:3" ht="19.5" customHeight="1">
      <c r="A390" s="25"/>
      <c r="B390" s="25"/>
      <c r="C390" s="25"/>
    </row>
    <row r="391" spans="1:3" ht="19.5" customHeight="1">
      <c r="A391" s="25"/>
      <c r="B391" s="25"/>
      <c r="C391" s="25"/>
    </row>
    <row r="392" spans="1:3" ht="19.5" customHeight="1">
      <c r="A392" s="25"/>
      <c r="B392" s="25"/>
      <c r="C392" s="25"/>
    </row>
    <row r="393" spans="1:3" ht="19.5" customHeight="1">
      <c r="A393" s="25"/>
      <c r="B393" s="25"/>
      <c r="C393" s="25"/>
    </row>
    <row r="394" spans="1:3" ht="19.5" customHeight="1">
      <c r="A394" s="25"/>
      <c r="B394" s="25"/>
      <c r="C394" s="25"/>
    </row>
    <row r="395" spans="1:3" ht="19.5" customHeight="1">
      <c r="A395" s="25"/>
      <c r="B395" s="25"/>
      <c r="C395" s="25"/>
    </row>
    <row r="396" spans="1:3" ht="19.5" customHeight="1">
      <c r="A396" s="25"/>
      <c r="B396" s="25"/>
      <c r="C396" s="25"/>
    </row>
    <row r="397" spans="1:3" ht="19.5" customHeight="1">
      <c r="A397" s="25"/>
      <c r="B397" s="25"/>
      <c r="C397" s="25"/>
    </row>
    <row r="398" spans="1:3" ht="19.5" customHeight="1">
      <c r="A398" s="25"/>
      <c r="B398" s="25"/>
      <c r="C398" s="25"/>
    </row>
    <row r="399" spans="1:3" ht="19.5" customHeight="1">
      <c r="A399" s="25"/>
      <c r="B399" s="25"/>
      <c r="C399" s="25"/>
    </row>
    <row r="400" spans="1:3" ht="19.5" customHeight="1">
      <c r="A400" s="25"/>
      <c r="B400" s="25"/>
      <c r="C400" s="25"/>
    </row>
    <row r="401" spans="1:3" ht="19.5" customHeight="1">
      <c r="A401" s="25"/>
      <c r="B401" s="25"/>
      <c r="C401" s="25"/>
    </row>
    <row r="402" spans="1:3" ht="19.5" customHeight="1">
      <c r="A402" s="25"/>
      <c r="B402" s="25"/>
      <c r="C402" s="25"/>
    </row>
    <row r="403" spans="1:3" ht="19.5" customHeight="1">
      <c r="A403" s="25"/>
      <c r="B403" s="25"/>
      <c r="C403" s="25"/>
    </row>
    <row r="404" spans="1:3" ht="19.5" customHeight="1">
      <c r="A404" s="25"/>
      <c r="B404" s="25"/>
      <c r="C404" s="25"/>
    </row>
    <row r="405" spans="1:3" ht="19.5" customHeight="1">
      <c r="A405" s="25"/>
      <c r="B405" s="25"/>
      <c r="C405" s="25"/>
    </row>
    <row r="406" spans="1:3" ht="19.5" customHeight="1">
      <c r="A406" s="25"/>
      <c r="B406" s="25"/>
      <c r="C406" s="25"/>
    </row>
    <row r="407" spans="1:3" ht="19.5" customHeight="1">
      <c r="A407" s="25"/>
      <c r="B407" s="25"/>
      <c r="C407" s="25"/>
    </row>
    <row r="408" spans="1:3" ht="19.5" customHeight="1">
      <c r="A408" s="25"/>
      <c r="B408" s="25"/>
      <c r="C408" s="25"/>
    </row>
    <row r="409" spans="1:3" ht="19.5" customHeight="1">
      <c r="A409" s="25"/>
      <c r="B409" s="25"/>
      <c r="C409" s="25"/>
    </row>
    <row r="410" spans="1:3" ht="19.5" customHeight="1">
      <c r="A410" s="25"/>
      <c r="B410" s="25"/>
      <c r="C410" s="25"/>
    </row>
    <row r="411" spans="1:3" ht="19.5" customHeight="1">
      <c r="A411" s="25"/>
      <c r="B411" s="25"/>
      <c r="C411" s="25"/>
    </row>
    <row r="412" spans="1:3" ht="19.5" customHeight="1">
      <c r="A412" s="25"/>
      <c r="B412" s="25"/>
      <c r="C412" s="25"/>
    </row>
    <row r="413" spans="1:3" ht="19.5" customHeight="1">
      <c r="A413" s="25"/>
      <c r="B413" s="25"/>
      <c r="C413" s="25"/>
    </row>
    <row r="414" spans="1:3" ht="19.5" customHeight="1">
      <c r="A414" s="25"/>
      <c r="B414" s="25"/>
      <c r="C414" s="25"/>
    </row>
    <row r="415" spans="1:3" ht="19.5" customHeight="1">
      <c r="A415" s="25"/>
      <c r="B415" s="25"/>
      <c r="C415" s="25"/>
    </row>
    <row r="416" spans="1:3" ht="19.5" customHeight="1">
      <c r="A416" s="25"/>
      <c r="B416" s="25"/>
      <c r="C416" s="25"/>
    </row>
    <row r="417" spans="1:3" ht="19.5" customHeight="1">
      <c r="A417" s="25"/>
      <c r="B417" s="25"/>
      <c r="C417" s="25"/>
    </row>
    <row r="418" spans="1:3" ht="19.5" customHeight="1">
      <c r="A418" s="25"/>
      <c r="B418" s="25"/>
      <c r="C418" s="25"/>
    </row>
    <row r="419" spans="1:3" ht="19.5" customHeight="1">
      <c r="A419" s="25"/>
      <c r="B419" s="25"/>
      <c r="C419" s="25"/>
    </row>
    <row r="420" spans="1:3" ht="19.5" customHeight="1">
      <c r="A420" s="25"/>
      <c r="B420" s="25"/>
      <c r="C420" s="25"/>
    </row>
    <row r="421" spans="1:3" ht="19.5" customHeight="1">
      <c r="A421" s="25"/>
      <c r="B421" s="25"/>
      <c r="C421" s="25"/>
    </row>
    <row r="422" spans="1:3" ht="19.5" customHeight="1">
      <c r="A422" s="25"/>
      <c r="B422" s="25"/>
      <c r="C422" s="25"/>
    </row>
    <row r="423" spans="1:3" ht="19.5" customHeight="1">
      <c r="A423" s="25"/>
      <c r="B423" s="25"/>
      <c r="C423" s="25"/>
    </row>
    <row r="424" spans="1:3" ht="19.5" customHeight="1">
      <c r="A424" s="25"/>
      <c r="B424" s="25"/>
      <c r="C424" s="25"/>
    </row>
    <row r="425" spans="1:3" ht="19.5" customHeight="1">
      <c r="A425" s="25"/>
      <c r="B425" s="25"/>
      <c r="C425" s="25"/>
    </row>
    <row r="426" spans="1:3" ht="19.5" customHeight="1">
      <c r="A426" s="25"/>
      <c r="B426" s="25"/>
      <c r="C426" s="25"/>
    </row>
    <row r="427" spans="1:3" ht="19.5" customHeight="1">
      <c r="A427" s="25"/>
      <c r="B427" s="25"/>
      <c r="C427" s="25"/>
    </row>
    <row r="428" spans="1:3" ht="19.5" customHeight="1">
      <c r="A428" s="25"/>
      <c r="B428" s="25"/>
      <c r="C428" s="25"/>
    </row>
    <row r="429" spans="1:3" ht="19.5" customHeight="1">
      <c r="A429" s="25"/>
      <c r="B429" s="25"/>
      <c r="C429" s="25"/>
    </row>
    <row r="430" spans="1:3" ht="19.5" customHeight="1">
      <c r="A430" s="25"/>
      <c r="B430" s="25"/>
      <c r="C430" s="25"/>
    </row>
    <row r="431" spans="1:3" ht="19.5" customHeight="1">
      <c r="A431" s="25"/>
      <c r="B431" s="25"/>
      <c r="C431" s="25"/>
    </row>
    <row r="432" spans="1:3" ht="19.5" customHeight="1">
      <c r="A432" s="25"/>
      <c r="B432" s="25"/>
      <c r="C432" s="25"/>
    </row>
    <row r="433" spans="1:3" ht="19.5" customHeight="1">
      <c r="A433" s="25"/>
      <c r="B433" s="25"/>
      <c r="C433" s="25"/>
    </row>
    <row r="434" spans="1:3" ht="19.5" customHeight="1">
      <c r="A434" s="25"/>
      <c r="B434" s="25"/>
      <c r="C434" s="25"/>
    </row>
    <row r="435" spans="1:3" ht="19.5" customHeight="1">
      <c r="A435" s="25"/>
      <c r="B435" s="25"/>
      <c r="C435" s="25"/>
    </row>
    <row r="436" spans="1:3" ht="19.5" customHeight="1">
      <c r="A436" s="25"/>
      <c r="B436" s="25"/>
      <c r="C436" s="25"/>
    </row>
    <row r="437" spans="1:3" ht="19.5" customHeight="1">
      <c r="A437" s="25"/>
      <c r="B437" s="25"/>
      <c r="C437" s="25"/>
    </row>
    <row r="438" spans="1:3" ht="19.5" customHeight="1">
      <c r="A438" s="25"/>
      <c r="B438" s="25"/>
      <c r="C438" s="25"/>
    </row>
    <row r="439" spans="1:3" ht="19.5" customHeight="1">
      <c r="A439" s="25"/>
      <c r="B439" s="25"/>
      <c r="C439" s="25"/>
    </row>
    <row r="440" spans="1:3" ht="19.5" customHeight="1">
      <c r="A440" s="25"/>
      <c r="B440" s="25"/>
      <c r="C440" s="25"/>
    </row>
    <row r="441" spans="1:3" ht="19.5" customHeight="1">
      <c r="A441" s="25"/>
      <c r="B441" s="25"/>
      <c r="C441" s="25"/>
    </row>
    <row r="442" spans="1:3" ht="19.5" customHeight="1">
      <c r="A442" s="25"/>
      <c r="B442" s="25"/>
      <c r="C442" s="25"/>
    </row>
    <row r="443" spans="1:3" ht="19.5" customHeight="1">
      <c r="A443" s="25"/>
      <c r="B443" s="25"/>
      <c r="C443" s="25"/>
    </row>
    <row r="444" spans="1:3" ht="19.5" customHeight="1">
      <c r="A444" s="25"/>
      <c r="B444" s="25"/>
      <c r="C444" s="25"/>
    </row>
    <row r="445" spans="1:3" ht="19.5" customHeight="1">
      <c r="A445" s="25"/>
      <c r="B445" s="25"/>
      <c r="C445" s="25"/>
    </row>
    <row r="446" spans="1:3" ht="19.5" customHeight="1">
      <c r="A446" s="25"/>
      <c r="B446" s="25"/>
      <c r="C446" s="25"/>
    </row>
    <row r="447" spans="1:3" ht="19.5" customHeight="1">
      <c r="A447" s="25"/>
      <c r="B447" s="25"/>
      <c r="C447" s="25"/>
    </row>
    <row r="448" spans="1:3" ht="19.5" customHeight="1">
      <c r="A448" s="25"/>
      <c r="B448" s="25"/>
      <c r="C448" s="25"/>
    </row>
    <row r="449" spans="1:3" ht="19.5" customHeight="1">
      <c r="A449" s="25"/>
      <c r="B449" s="25"/>
      <c r="C449" s="25"/>
    </row>
    <row r="450" spans="1:3" ht="19.5" customHeight="1">
      <c r="A450" s="25"/>
      <c r="B450" s="25"/>
      <c r="C450" s="25"/>
    </row>
    <row r="451" spans="1:3" ht="19.5" customHeight="1">
      <c r="A451" s="25"/>
      <c r="B451" s="25"/>
      <c r="C451" s="25"/>
    </row>
    <row r="452" spans="1:3" ht="19.5" customHeight="1">
      <c r="A452" s="25"/>
      <c r="B452" s="25"/>
      <c r="C452" s="25"/>
    </row>
    <row r="453" spans="1:3" ht="19.5" customHeight="1">
      <c r="A453" s="25"/>
      <c r="B453" s="25"/>
      <c r="C453" s="25"/>
    </row>
    <row r="454" spans="1:3" ht="19.5" customHeight="1">
      <c r="A454" s="25"/>
      <c r="B454" s="25"/>
      <c r="C454" s="25"/>
    </row>
    <row r="455" spans="1:3" ht="19.5" customHeight="1">
      <c r="A455" s="25"/>
      <c r="B455" s="25"/>
      <c r="C455" s="25"/>
    </row>
    <row r="456" spans="1:3" ht="19.5" customHeight="1">
      <c r="A456" s="25"/>
      <c r="B456" s="25"/>
      <c r="C456" s="25"/>
    </row>
    <row r="457" spans="1:3" ht="19.5" customHeight="1">
      <c r="A457" s="25"/>
      <c r="B457" s="25"/>
      <c r="C457" s="25"/>
    </row>
    <row r="458" spans="1:3" ht="19.5" customHeight="1">
      <c r="A458" s="25"/>
      <c r="B458" s="25"/>
      <c r="C458" s="25"/>
    </row>
    <row r="459" spans="1:3" ht="19.5" customHeight="1">
      <c r="A459" s="25"/>
      <c r="B459" s="25"/>
      <c r="C459" s="25"/>
    </row>
    <row r="460" spans="1:3" ht="19.5" customHeight="1">
      <c r="A460" s="25"/>
      <c r="B460" s="25"/>
      <c r="C460" s="25"/>
    </row>
    <row r="461" spans="1:3" ht="19.5" customHeight="1">
      <c r="A461" s="25"/>
      <c r="B461" s="25"/>
      <c r="C461" s="25"/>
    </row>
    <row r="462" spans="1:3" ht="19.5" customHeight="1">
      <c r="A462" s="25"/>
      <c r="B462" s="25"/>
      <c r="C462" s="25"/>
    </row>
    <row r="463" spans="1:3" ht="19.5" customHeight="1">
      <c r="A463" s="25"/>
      <c r="B463" s="25"/>
      <c r="C463" s="25"/>
    </row>
    <row r="464" spans="1:3" ht="19.5" customHeight="1">
      <c r="A464" s="25"/>
      <c r="B464" s="25"/>
      <c r="C464" s="703"/>
    </row>
    <row r="465" spans="1:3" ht="19.5" customHeight="1">
      <c r="A465" s="25"/>
      <c r="B465" s="25"/>
      <c r="C465" s="703"/>
    </row>
    <row r="466" spans="1:3" ht="19.5" customHeight="1">
      <c r="A466" s="25"/>
      <c r="B466" s="25"/>
      <c r="C466" s="703"/>
    </row>
    <row r="467" spans="1:3" ht="19.5" customHeight="1">
      <c r="A467" s="25"/>
      <c r="B467" s="25"/>
      <c r="C467" s="703"/>
    </row>
    <row r="468" spans="1:3" ht="19.5" customHeight="1">
      <c r="A468" s="25"/>
      <c r="B468" s="25"/>
      <c r="C468" s="703"/>
    </row>
    <row r="469" spans="1:3" ht="19.5" customHeight="1">
      <c r="A469" s="25"/>
      <c r="B469" s="25"/>
      <c r="C469" s="703"/>
    </row>
    <row r="470" spans="1:3" ht="19.5" customHeight="1">
      <c r="A470" s="25"/>
      <c r="B470" s="25"/>
      <c r="C470" s="703"/>
    </row>
    <row r="471" spans="1:3" ht="19.5" customHeight="1">
      <c r="A471" s="25"/>
      <c r="B471" s="25"/>
      <c r="C471" s="703"/>
    </row>
    <row r="472" spans="1:3" ht="19.5" customHeight="1">
      <c r="A472" s="25"/>
      <c r="B472" s="25"/>
      <c r="C472" s="703"/>
    </row>
    <row r="473" spans="1:3" ht="19.5" customHeight="1">
      <c r="A473" s="25"/>
      <c r="B473" s="25"/>
      <c r="C473" s="703"/>
    </row>
    <row r="474" spans="1:3" ht="19.5" customHeight="1">
      <c r="A474" s="25"/>
      <c r="B474" s="25"/>
      <c r="C474" s="703"/>
    </row>
    <row r="475" spans="2:3" ht="19.5" customHeight="1">
      <c r="B475" s="25"/>
      <c r="C475" s="703"/>
    </row>
    <row r="476" spans="2:3" ht="19.5" customHeight="1">
      <c r="B476" s="25"/>
      <c r="C476" s="703"/>
    </row>
    <row r="477" spans="2:3" ht="19.5" customHeight="1">
      <c r="B477" s="25"/>
      <c r="C477" s="703"/>
    </row>
    <row r="478" spans="2:3" ht="19.5" customHeight="1">
      <c r="B478" s="25"/>
      <c r="C478" s="703"/>
    </row>
    <row r="479" spans="2:3" ht="19.5" customHeight="1">
      <c r="B479" s="25"/>
      <c r="C479" s="703"/>
    </row>
    <row r="480" spans="2:3" ht="19.5" customHeight="1">
      <c r="B480" s="25"/>
      <c r="C480" s="703"/>
    </row>
    <row r="481" spans="2:3" ht="19.5" customHeight="1">
      <c r="B481" s="25"/>
      <c r="C481" s="703"/>
    </row>
    <row r="482" spans="2:3" ht="19.5" customHeight="1">
      <c r="B482" s="25"/>
      <c r="C482" s="703"/>
    </row>
    <row r="483" spans="2:3" ht="19.5" customHeight="1">
      <c r="B483" s="25"/>
      <c r="C483" s="703"/>
    </row>
    <row r="484" spans="2:3" ht="19.5" customHeight="1">
      <c r="B484" s="25"/>
      <c r="C484" s="703"/>
    </row>
    <row r="485" spans="2:3" ht="19.5" customHeight="1">
      <c r="B485" s="25"/>
      <c r="C485" s="703"/>
    </row>
    <row r="486" spans="2:3" ht="19.5" customHeight="1">
      <c r="B486" s="25"/>
      <c r="C486" s="703"/>
    </row>
    <row r="487" spans="2:3" ht="19.5" customHeight="1">
      <c r="B487" s="25"/>
      <c r="C487" s="703"/>
    </row>
    <row r="488" spans="2:3" ht="19.5" customHeight="1">
      <c r="B488" s="703"/>
      <c r="C488" s="703"/>
    </row>
    <row r="489" spans="2:3" ht="19.5" customHeight="1">
      <c r="B489" s="703"/>
      <c r="C489" s="703"/>
    </row>
    <row r="490" spans="2:3" ht="19.5" customHeight="1">
      <c r="B490" s="703"/>
      <c r="C490" s="703"/>
    </row>
    <row r="491" spans="2:3" ht="19.5" customHeight="1">
      <c r="B491" s="703"/>
      <c r="C491" s="703"/>
    </row>
    <row r="492" spans="2:3" ht="19.5" customHeight="1">
      <c r="B492" s="703"/>
      <c r="C492" s="703"/>
    </row>
    <row r="493" spans="2:3" ht="19.5" customHeight="1">
      <c r="B493" s="703"/>
      <c r="C493" s="703"/>
    </row>
    <row r="494" spans="2:3" ht="19.5" customHeight="1">
      <c r="B494" s="703"/>
      <c r="C494" s="703"/>
    </row>
    <row r="495" spans="2:3" ht="19.5" customHeight="1">
      <c r="B495" s="703"/>
      <c r="C495" s="703"/>
    </row>
    <row r="496" spans="2:3" ht="19.5" customHeight="1">
      <c r="B496" s="703"/>
      <c r="C496" s="703"/>
    </row>
    <row r="497" spans="2:3" ht="19.5" customHeight="1">
      <c r="B497" s="703"/>
      <c r="C497" s="703"/>
    </row>
  </sheetData>
  <sheetProtection/>
  <mergeCells count="46">
    <mergeCell ref="A1:D1"/>
    <mergeCell ref="A2:C2"/>
    <mergeCell ref="A3:D3"/>
    <mergeCell ref="A4:A6"/>
    <mergeCell ref="B4:B6"/>
    <mergeCell ref="C4:C6"/>
    <mergeCell ref="D4:D6"/>
    <mergeCell ref="E4:E6"/>
    <mergeCell ref="A38:A40"/>
    <mergeCell ref="B38:B40"/>
    <mergeCell ref="C38:C40"/>
    <mergeCell ref="D38:D40"/>
    <mergeCell ref="E38:E40"/>
    <mergeCell ref="A89:D89"/>
    <mergeCell ref="A90:A92"/>
    <mergeCell ref="B90:B92"/>
    <mergeCell ref="C90:C92"/>
    <mergeCell ref="D90:D92"/>
    <mergeCell ref="E90:E92"/>
    <mergeCell ref="E133:E135"/>
    <mergeCell ref="A107:A109"/>
    <mergeCell ref="B107:B109"/>
    <mergeCell ref="C107:C109"/>
    <mergeCell ref="D107:D109"/>
    <mergeCell ref="E107:E109"/>
    <mergeCell ref="A116:D116"/>
    <mergeCell ref="E146:E148"/>
    <mergeCell ref="A117:A119"/>
    <mergeCell ref="B117:B119"/>
    <mergeCell ref="C117:C119"/>
    <mergeCell ref="D117:D119"/>
    <mergeCell ref="E117:E119"/>
    <mergeCell ref="A133:A135"/>
    <mergeCell ref="B133:B135"/>
    <mergeCell ref="C133:C135"/>
    <mergeCell ref="D133:D135"/>
    <mergeCell ref="A159:A161"/>
    <mergeCell ref="B159:B161"/>
    <mergeCell ref="C159:C161"/>
    <mergeCell ref="D159:D161"/>
    <mergeCell ref="E159:E161"/>
    <mergeCell ref="A145:D145"/>
    <mergeCell ref="A146:A148"/>
    <mergeCell ref="B146:B148"/>
    <mergeCell ref="C146:C148"/>
    <mergeCell ref="D146:D1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17"/>
  <sheetViews>
    <sheetView zoomScalePageLayoutView="0" workbookViewId="0" topLeftCell="A176">
      <selection activeCell="A2" sqref="A2:C2"/>
    </sheetView>
  </sheetViews>
  <sheetFormatPr defaultColWidth="9.00390625" defaultRowHeight="12.75"/>
  <cols>
    <col min="1" max="1" width="4.375" style="124" customWidth="1"/>
    <col min="2" max="2" width="44.00390625" style="0" customWidth="1"/>
    <col min="3" max="4" width="12.875" style="0" hidden="1" customWidth="1"/>
    <col min="5" max="6" width="12.125" style="0" hidden="1" customWidth="1"/>
    <col min="7" max="8" width="12.00390625" style="382" hidden="1" customWidth="1"/>
    <col min="9" max="9" width="13.00390625" style="382" hidden="1" customWidth="1"/>
    <col min="10" max="10" width="12.875" style="777" customWidth="1"/>
    <col min="11" max="13" width="12.875" style="778" customWidth="1"/>
    <col min="14" max="15" width="9.125" style="0" hidden="1" customWidth="1"/>
    <col min="16" max="16" width="16.625" style="124" customWidth="1"/>
    <col min="17" max="17" width="9.50390625" style="0" customWidth="1"/>
    <col min="18" max="18" width="10.625" style="0" customWidth="1"/>
    <col min="19" max="19" width="9.125" style="500" customWidth="1"/>
    <col min="21" max="21" width="10.625" style="0" bestFit="1" customWidth="1"/>
  </cols>
  <sheetData>
    <row r="1" spans="2:16" ht="20.25">
      <c r="B1" s="647" t="s">
        <v>433</v>
      </c>
      <c r="C1" s="647"/>
      <c r="D1" s="647"/>
      <c r="E1" s="647"/>
      <c r="F1" s="647"/>
      <c r="G1" s="647"/>
      <c r="H1" s="647"/>
      <c r="I1" s="647"/>
      <c r="J1" s="750"/>
      <c r="K1" s="750"/>
      <c r="L1" s="750"/>
      <c r="M1" s="750"/>
      <c r="N1" s="647"/>
      <c r="O1" s="647"/>
      <c r="P1" s="648"/>
    </row>
    <row r="2" spans="2:18" ht="20.25">
      <c r="B2" s="873" t="s">
        <v>6</v>
      </c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R2" t="s">
        <v>173</v>
      </c>
    </row>
    <row r="3" spans="1:19" s="10" customFormat="1" ht="5.25" customHeight="1">
      <c r="A3" s="347"/>
      <c r="B3" s="8"/>
      <c r="C3" s="9"/>
      <c r="D3" s="9"/>
      <c r="E3" s="9"/>
      <c r="F3" s="9"/>
      <c r="G3" s="348"/>
      <c r="H3" s="348"/>
      <c r="I3" s="348"/>
      <c r="J3" s="751"/>
      <c r="K3" s="752"/>
      <c r="L3" s="753"/>
      <c r="M3" s="752"/>
      <c r="N3" s="1"/>
      <c r="O3" s="41"/>
      <c r="P3" s="347"/>
      <c r="S3" s="513"/>
    </row>
    <row r="4" spans="1:23" s="10" customFormat="1" ht="11.25" customHeight="1" thickBot="1">
      <c r="A4" s="347"/>
      <c r="B4" s="8"/>
      <c r="C4" s="9"/>
      <c r="D4" s="9"/>
      <c r="E4" s="9"/>
      <c r="F4" s="9"/>
      <c r="G4" s="348"/>
      <c r="H4" s="348"/>
      <c r="I4" s="348"/>
      <c r="J4" s="751"/>
      <c r="K4" s="752"/>
      <c r="L4" s="753"/>
      <c r="M4" s="752"/>
      <c r="N4" s="1"/>
      <c r="O4" s="41"/>
      <c r="P4" s="347"/>
      <c r="Q4" s="131"/>
      <c r="R4" s="131"/>
      <c r="S4" s="502"/>
      <c r="T4" s="29"/>
      <c r="U4" s="29"/>
      <c r="V4" s="29"/>
      <c r="W4" s="29"/>
    </row>
    <row r="5" spans="2:23" ht="27.75">
      <c r="B5" s="89" t="s">
        <v>7</v>
      </c>
      <c r="C5" s="93" t="s">
        <v>299</v>
      </c>
      <c r="D5" s="350" t="s">
        <v>137</v>
      </c>
      <c r="E5" s="93" t="s">
        <v>299</v>
      </c>
      <c r="F5" s="350" t="s">
        <v>137</v>
      </c>
      <c r="G5" s="93" t="s">
        <v>299</v>
      </c>
      <c r="H5" s="350" t="s">
        <v>338</v>
      </c>
      <c r="I5" s="350" t="s">
        <v>338</v>
      </c>
      <c r="J5" s="749" t="s">
        <v>411</v>
      </c>
      <c r="K5" s="749" t="s">
        <v>412</v>
      </c>
      <c r="L5" s="794" t="s">
        <v>414</v>
      </c>
      <c r="M5" s="181" t="s">
        <v>415</v>
      </c>
      <c r="N5" s="416"/>
      <c r="O5" s="417"/>
      <c r="P5" s="351" t="s">
        <v>136</v>
      </c>
      <c r="Q5" s="131"/>
      <c r="R5" s="25" t="s">
        <v>173</v>
      </c>
      <c r="S5" s="57"/>
      <c r="T5" s="29"/>
      <c r="U5" s="29"/>
      <c r="V5" s="29"/>
      <c r="W5" s="29"/>
    </row>
    <row r="6" spans="2:23" ht="15.75" thickBot="1">
      <c r="B6" s="369"/>
      <c r="C6" s="539">
        <v>2015</v>
      </c>
      <c r="D6" s="353">
        <v>2015</v>
      </c>
      <c r="E6" s="540">
        <v>2016</v>
      </c>
      <c r="F6" s="540">
        <v>2016</v>
      </c>
      <c r="G6" s="353">
        <v>2017</v>
      </c>
      <c r="H6" s="418" t="s">
        <v>339</v>
      </c>
      <c r="I6" s="418" t="s">
        <v>359</v>
      </c>
      <c r="J6" s="395" t="s">
        <v>300</v>
      </c>
      <c r="K6" s="395" t="s">
        <v>300</v>
      </c>
      <c r="L6" s="863">
        <v>43252</v>
      </c>
      <c r="M6" s="182"/>
      <c r="N6" s="420"/>
      <c r="O6" s="421"/>
      <c r="P6" s="355"/>
      <c r="Q6" s="29"/>
      <c r="R6" s="29"/>
      <c r="S6" s="134"/>
      <c r="T6" s="29"/>
      <c r="U6" s="29"/>
      <c r="V6" s="29"/>
      <c r="W6" s="29"/>
    </row>
    <row r="7" spans="1:23" s="2" customFormat="1" ht="12.75" customHeight="1">
      <c r="A7" s="124"/>
      <c r="B7" s="532" t="s">
        <v>307</v>
      </c>
      <c r="C7" s="426">
        <v>1200000</v>
      </c>
      <c r="D7" s="411">
        <v>180273</v>
      </c>
      <c r="E7" s="410">
        <v>203000</v>
      </c>
      <c r="F7" s="410">
        <v>182957</v>
      </c>
      <c r="G7" s="411">
        <v>200000</v>
      </c>
      <c r="H7" s="411">
        <v>79385</v>
      </c>
      <c r="I7" s="411">
        <v>94379</v>
      </c>
      <c r="J7" s="754">
        <v>204000</v>
      </c>
      <c r="K7" s="754">
        <v>204000</v>
      </c>
      <c r="L7" s="754">
        <v>98024</v>
      </c>
      <c r="M7" s="800">
        <f>L7/K7</f>
        <v>0.4805098039215686</v>
      </c>
      <c r="N7" s="65"/>
      <c r="O7" s="69"/>
      <c r="P7" s="633"/>
      <c r="Q7" s="57"/>
      <c r="R7" s="57"/>
      <c r="S7" s="57"/>
      <c r="T7" s="70"/>
      <c r="U7" s="70"/>
      <c r="V7" s="70"/>
      <c r="W7" s="70"/>
    </row>
    <row r="8" spans="1:23" s="2" customFormat="1" ht="12.75" customHeight="1">
      <c r="A8" s="124"/>
      <c r="B8" s="533" t="s">
        <v>305</v>
      </c>
      <c r="C8" s="427"/>
      <c r="D8" s="398">
        <v>108606</v>
      </c>
      <c r="E8" s="397">
        <v>77000</v>
      </c>
      <c r="F8" s="397">
        <v>70712</v>
      </c>
      <c r="G8" s="398">
        <v>90000</v>
      </c>
      <c r="H8" s="398">
        <v>34564</v>
      </c>
      <c r="I8" s="398">
        <v>45710</v>
      </c>
      <c r="J8" s="755">
        <v>91800</v>
      </c>
      <c r="K8" s="755">
        <v>91800</v>
      </c>
      <c r="L8" s="755">
        <v>49057</v>
      </c>
      <c r="M8" s="801">
        <f>L8/K8</f>
        <v>0.5343899782135076</v>
      </c>
      <c r="N8" s="65"/>
      <c r="O8" s="69"/>
      <c r="P8" s="634"/>
      <c r="Q8" s="57"/>
      <c r="R8" s="57"/>
      <c r="S8" s="57"/>
      <c r="T8" s="70"/>
      <c r="U8" s="70"/>
      <c r="V8" s="70"/>
      <c r="W8" s="70"/>
    </row>
    <row r="9" spans="1:23" s="2" customFormat="1" ht="12.75" customHeight="1">
      <c r="A9" s="124"/>
      <c r="B9" s="533" t="s">
        <v>306</v>
      </c>
      <c r="C9" s="428"/>
      <c r="D9" s="423">
        <v>850526</v>
      </c>
      <c r="E9" s="422">
        <v>920000</v>
      </c>
      <c r="F9" s="422">
        <v>958122</v>
      </c>
      <c r="G9" s="423">
        <v>1000000</v>
      </c>
      <c r="H9" s="423">
        <v>631118</v>
      </c>
      <c r="I9" s="423">
        <v>638962</v>
      </c>
      <c r="J9" s="756">
        <v>1020000</v>
      </c>
      <c r="K9" s="756">
        <v>1020000</v>
      </c>
      <c r="L9" s="756">
        <v>617905</v>
      </c>
      <c r="M9" s="802">
        <f aca="true" t="shared" si="0" ref="M9:M62">L9/K9</f>
        <v>0.6057892156862745</v>
      </c>
      <c r="N9" s="803"/>
      <c r="O9" s="804"/>
      <c r="P9" s="805"/>
      <c r="Q9" s="57"/>
      <c r="R9" s="57"/>
      <c r="S9" s="57"/>
      <c r="T9" s="70"/>
      <c r="U9" s="70"/>
      <c r="V9" s="70"/>
      <c r="W9" s="70"/>
    </row>
    <row r="10" spans="1:23" s="2" customFormat="1" ht="12.75" customHeight="1">
      <c r="A10" s="124"/>
      <c r="B10" s="534" t="s">
        <v>1</v>
      </c>
      <c r="C10" s="426">
        <v>50000</v>
      </c>
      <c r="D10" s="411">
        <v>7811</v>
      </c>
      <c r="E10" s="410">
        <f>C10</f>
        <v>50000</v>
      </c>
      <c r="F10" s="410">
        <v>12631</v>
      </c>
      <c r="G10" s="411">
        <v>50000</v>
      </c>
      <c r="H10" s="411">
        <v>25991</v>
      </c>
      <c r="I10" s="412">
        <v>25991</v>
      </c>
      <c r="J10" s="754">
        <v>50000</v>
      </c>
      <c r="K10" s="754">
        <v>50000</v>
      </c>
      <c r="L10" s="754">
        <v>32529</v>
      </c>
      <c r="M10" s="800">
        <f t="shared" si="0"/>
        <v>0.65058</v>
      </c>
      <c r="N10" s="65"/>
      <c r="O10" s="69"/>
      <c r="P10" s="414"/>
      <c r="Q10" s="57"/>
      <c r="R10" s="57"/>
      <c r="S10" s="57"/>
      <c r="T10" s="70"/>
      <c r="U10" s="70"/>
      <c r="V10" s="70"/>
      <c r="W10" s="70"/>
    </row>
    <row r="11" spans="1:23" s="2" customFormat="1" ht="12.75" customHeight="1">
      <c r="A11" s="124"/>
      <c r="B11" s="527" t="s">
        <v>8</v>
      </c>
      <c r="C11" s="427">
        <v>395000</v>
      </c>
      <c r="D11" s="398">
        <v>357616</v>
      </c>
      <c r="E11" s="397">
        <f>C11</f>
        <v>395000</v>
      </c>
      <c r="F11" s="397">
        <v>443970</v>
      </c>
      <c r="G11" s="398">
        <v>403000</v>
      </c>
      <c r="H11" s="398">
        <v>84691</v>
      </c>
      <c r="I11" s="399">
        <v>107724</v>
      </c>
      <c r="J11" s="757">
        <v>410000</v>
      </c>
      <c r="K11" s="757">
        <f>410000+650000</f>
        <v>1060000</v>
      </c>
      <c r="L11" s="757">
        <f>298911-L59-61129-936-4350-650-279-1340+14089</f>
        <v>63778</v>
      </c>
      <c r="M11" s="801">
        <f t="shared" si="0"/>
        <v>0.060167924528301886</v>
      </c>
      <c r="N11" s="65"/>
      <c r="O11" s="69"/>
      <c r="P11" s="357"/>
      <c r="Q11" s="57"/>
      <c r="R11" s="57"/>
      <c r="S11" s="57"/>
      <c r="T11" s="70"/>
      <c r="U11" s="70"/>
      <c r="V11" s="70"/>
      <c r="W11" s="70"/>
    </row>
    <row r="12" spans="1:23" s="2" customFormat="1" ht="12.75" customHeight="1">
      <c r="A12" s="124"/>
      <c r="B12" s="527" t="s">
        <v>18</v>
      </c>
      <c r="C12" s="427">
        <v>3300000</v>
      </c>
      <c r="D12" s="398">
        <f>3456317-D24</f>
        <v>3419317</v>
      </c>
      <c r="E12" s="397">
        <v>3074132</v>
      </c>
      <c r="F12" s="397">
        <v>2755358</v>
      </c>
      <c r="G12" s="398">
        <v>1870000</v>
      </c>
      <c r="H12" s="398">
        <v>1242344</v>
      </c>
      <c r="I12" s="399">
        <v>1381095</v>
      </c>
      <c r="J12" s="757">
        <v>1907000</v>
      </c>
      <c r="K12" s="757">
        <v>1907000</v>
      </c>
      <c r="L12" s="757">
        <f>2682672-L16-L22-L23-L25-L26-L27-L29-L30-L31-L33-L36-L37-L39-L38-L40-L42-L44-L45-L49-L50-L57-L58-L60+61129-936-4350-650-279-1340</f>
        <v>1587410</v>
      </c>
      <c r="M12" s="801">
        <f t="shared" si="0"/>
        <v>0.8324121657052963</v>
      </c>
      <c r="N12" s="65"/>
      <c r="O12" s="69"/>
      <c r="P12" s="357"/>
      <c r="Q12" s="57"/>
      <c r="R12" s="57"/>
      <c r="S12" s="57"/>
      <c r="T12" s="70"/>
      <c r="U12" s="869">
        <f>L12</f>
        <v>1587410</v>
      </c>
      <c r="V12" s="70"/>
      <c r="W12" s="70"/>
    </row>
    <row r="13" spans="1:23" s="2" customFormat="1" ht="12.75" customHeight="1">
      <c r="A13" s="124"/>
      <c r="B13" s="527" t="s">
        <v>9</v>
      </c>
      <c r="C13" s="427">
        <v>230000</v>
      </c>
      <c r="D13" s="398">
        <v>318</v>
      </c>
      <c r="E13" s="397">
        <f>C13</f>
        <v>230000</v>
      </c>
      <c r="F13" s="397">
        <v>383291</v>
      </c>
      <c r="G13" s="398">
        <v>1040000</v>
      </c>
      <c r="H13" s="398">
        <v>433287</v>
      </c>
      <c r="I13" s="399">
        <v>568683</v>
      </c>
      <c r="J13" s="757">
        <v>1190000</v>
      </c>
      <c r="K13" s="757">
        <v>1190000</v>
      </c>
      <c r="L13" s="757">
        <v>565162</v>
      </c>
      <c r="M13" s="801">
        <f t="shared" si="0"/>
        <v>0.47492605042016806</v>
      </c>
      <c r="N13" s="65"/>
      <c r="O13" s="69"/>
      <c r="P13" s="357"/>
      <c r="Q13" s="57"/>
      <c r="R13" s="57"/>
      <c r="S13" s="57"/>
      <c r="T13" s="70"/>
      <c r="U13" s="869"/>
      <c r="V13" s="70"/>
      <c r="W13" s="70"/>
    </row>
    <row r="14" spans="1:23" s="2" customFormat="1" ht="12.75" customHeight="1" hidden="1">
      <c r="A14" s="124"/>
      <c r="B14" s="636" t="s">
        <v>345</v>
      </c>
      <c r="C14" s="635"/>
      <c r="D14" s="403"/>
      <c r="E14" s="402"/>
      <c r="F14" s="402"/>
      <c r="G14" s="403"/>
      <c r="H14" s="403"/>
      <c r="I14" s="637"/>
      <c r="J14" s="758"/>
      <c r="K14" s="758"/>
      <c r="L14" s="758"/>
      <c r="M14" s="801" t="e">
        <f t="shared" si="0"/>
        <v>#DIV/0!</v>
      </c>
      <c r="N14" s="65"/>
      <c r="O14" s="69"/>
      <c r="P14" s="357"/>
      <c r="Q14" s="57"/>
      <c r="R14" s="57"/>
      <c r="S14" s="57"/>
      <c r="T14" s="70"/>
      <c r="U14" s="869">
        <f aca="true" t="shared" si="1" ref="U14:U60">L14</f>
        <v>0</v>
      </c>
      <c r="V14" s="70"/>
      <c r="W14" s="70"/>
    </row>
    <row r="15" spans="1:23" s="2" customFormat="1" ht="12.75" customHeight="1">
      <c r="A15" s="124"/>
      <c r="B15" s="545" t="s">
        <v>10</v>
      </c>
      <c r="C15" s="546">
        <v>3950254</v>
      </c>
      <c r="D15" s="547">
        <v>3339761</v>
      </c>
      <c r="E15" s="548">
        <v>4010430</v>
      </c>
      <c r="F15" s="548">
        <v>3952290</v>
      </c>
      <c r="G15" s="547">
        <v>4615045</v>
      </c>
      <c r="H15" s="547">
        <v>1683327</v>
      </c>
      <c r="I15" s="547">
        <v>2064587</v>
      </c>
      <c r="J15" s="759">
        <v>5470439</v>
      </c>
      <c r="K15" s="759">
        <v>5470439</v>
      </c>
      <c r="L15" s="759">
        <f>2488272-L61</f>
        <v>2388772</v>
      </c>
      <c r="M15" s="821">
        <f t="shared" si="0"/>
        <v>0.4366691594586833</v>
      </c>
      <c r="N15" s="81"/>
      <c r="O15" s="69"/>
      <c r="P15" s="357"/>
      <c r="Q15" s="124" t="s">
        <v>174</v>
      </c>
      <c r="R15" s="57"/>
      <c r="S15" s="514" t="s">
        <v>291</v>
      </c>
      <c r="T15" s="70"/>
      <c r="U15" s="869"/>
      <c r="V15" s="70"/>
      <c r="W15" s="70"/>
    </row>
    <row r="16" spans="1:23" s="2" customFormat="1" ht="12.75" customHeight="1">
      <c r="A16" s="124">
        <v>1601</v>
      </c>
      <c r="B16" s="518" t="s">
        <v>349</v>
      </c>
      <c r="C16" s="427">
        <v>950000</v>
      </c>
      <c r="D16" s="398">
        <v>1299917</v>
      </c>
      <c r="E16" s="404">
        <f>C16</f>
        <v>950000</v>
      </c>
      <c r="F16" s="404">
        <v>895685</v>
      </c>
      <c r="G16" s="398">
        <v>1004000</v>
      </c>
      <c r="H16" s="398">
        <v>51774</v>
      </c>
      <c r="I16" s="398">
        <v>53951</v>
      </c>
      <c r="J16" s="757">
        <v>1304500</v>
      </c>
      <c r="K16" s="757">
        <v>1304500</v>
      </c>
      <c r="L16" s="757">
        <v>109792</v>
      </c>
      <c r="M16" s="801">
        <f t="shared" si="0"/>
        <v>0.08416404752778843</v>
      </c>
      <c r="N16" s="65"/>
      <c r="O16" s="69"/>
      <c r="P16" s="357"/>
      <c r="Q16" s="57">
        <f>J16</f>
        <v>1304500</v>
      </c>
      <c r="R16" s="348"/>
      <c r="S16" s="57">
        <f>52500+12000</f>
        <v>64500</v>
      </c>
      <c r="T16" s="70"/>
      <c r="U16" s="869">
        <f t="shared" si="1"/>
        <v>109792</v>
      </c>
      <c r="V16" s="70"/>
      <c r="W16" s="70"/>
    </row>
    <row r="17" spans="1:23" s="2" customFormat="1" ht="12.75" customHeight="1" hidden="1">
      <c r="A17" s="124"/>
      <c r="B17" s="535" t="s">
        <v>310</v>
      </c>
      <c r="C17" s="429"/>
      <c r="D17" s="406"/>
      <c r="E17" s="405">
        <v>130000</v>
      </c>
      <c r="F17" s="405">
        <v>130000</v>
      </c>
      <c r="G17" s="406"/>
      <c r="H17" s="406"/>
      <c r="I17" s="406"/>
      <c r="J17" s="757"/>
      <c r="K17" s="757"/>
      <c r="L17" s="757"/>
      <c r="M17" s="801" t="e">
        <f t="shared" si="0"/>
        <v>#DIV/0!</v>
      </c>
      <c r="N17" s="65"/>
      <c r="O17" s="69"/>
      <c r="P17" s="357"/>
      <c r="Q17" s="57"/>
      <c r="R17" s="348"/>
      <c r="S17" s="57"/>
      <c r="T17" s="70"/>
      <c r="U17" s="869">
        <f t="shared" si="1"/>
        <v>0</v>
      </c>
      <c r="V17" s="70"/>
      <c r="W17" s="70"/>
    </row>
    <row r="18" spans="1:23" s="2" customFormat="1" ht="12.75" customHeight="1" hidden="1">
      <c r="A18" s="124"/>
      <c r="B18" s="535" t="s">
        <v>309</v>
      </c>
      <c r="C18" s="429"/>
      <c r="D18" s="406"/>
      <c r="E18" s="405">
        <v>30000</v>
      </c>
      <c r="F18" s="405">
        <v>30000</v>
      </c>
      <c r="G18" s="406">
        <v>50000</v>
      </c>
      <c r="H18" s="406"/>
      <c r="I18" s="406"/>
      <c r="J18" s="757"/>
      <c r="K18" s="757"/>
      <c r="L18" s="757"/>
      <c r="M18" s="801" t="e">
        <f t="shared" si="0"/>
        <v>#DIV/0!</v>
      </c>
      <c r="N18" s="65"/>
      <c r="O18" s="69"/>
      <c r="P18" s="357"/>
      <c r="Q18" s="57"/>
      <c r="R18" s="348"/>
      <c r="S18" s="57"/>
      <c r="T18" s="70"/>
      <c r="U18" s="869">
        <f t="shared" si="1"/>
        <v>0</v>
      </c>
      <c r="V18" s="70"/>
      <c r="W18" s="70"/>
    </row>
    <row r="19" spans="1:23" s="2" customFormat="1" ht="12.75" customHeight="1" hidden="1">
      <c r="A19" s="124"/>
      <c r="B19" s="535" t="s">
        <v>337</v>
      </c>
      <c r="C19" s="429"/>
      <c r="D19" s="406"/>
      <c r="E19" s="405"/>
      <c r="F19" s="405"/>
      <c r="G19" s="406">
        <v>50000</v>
      </c>
      <c r="H19" s="406">
        <v>8815</v>
      </c>
      <c r="I19" s="406">
        <v>8815</v>
      </c>
      <c r="J19" s="757"/>
      <c r="K19" s="757"/>
      <c r="L19" s="757"/>
      <c r="M19" s="801" t="e">
        <f t="shared" si="0"/>
        <v>#DIV/0!</v>
      </c>
      <c r="N19" s="65"/>
      <c r="O19" s="69"/>
      <c r="P19" s="357"/>
      <c r="Q19" s="57">
        <f>J19</f>
        <v>0</v>
      </c>
      <c r="R19" s="348"/>
      <c r="S19" s="57"/>
      <c r="T19" s="70"/>
      <c r="U19" s="869">
        <f t="shared" si="1"/>
        <v>0</v>
      </c>
      <c r="V19" s="70"/>
      <c r="W19" s="70"/>
    </row>
    <row r="20" spans="1:23" s="2" customFormat="1" ht="12.75" customHeight="1">
      <c r="A20" s="124"/>
      <c r="B20" s="850" t="s">
        <v>423</v>
      </c>
      <c r="C20" s="429"/>
      <c r="D20" s="851"/>
      <c r="E20" s="852"/>
      <c r="F20" s="852"/>
      <c r="G20" s="851"/>
      <c r="H20" s="851"/>
      <c r="I20" s="851"/>
      <c r="J20" s="853"/>
      <c r="K20" s="853">
        <v>200000</v>
      </c>
      <c r="L20" s="757"/>
      <c r="M20" s="801"/>
      <c r="N20" s="65"/>
      <c r="O20" s="69"/>
      <c r="P20" s="357"/>
      <c r="Q20" s="57"/>
      <c r="R20" s="348"/>
      <c r="S20" s="57"/>
      <c r="T20" s="70"/>
      <c r="U20" s="869">
        <f t="shared" si="1"/>
        <v>0</v>
      </c>
      <c r="V20" s="70"/>
      <c r="W20" s="70"/>
    </row>
    <row r="21" spans="1:23" s="2" customFormat="1" ht="12.75" customHeight="1">
      <c r="A21" s="124"/>
      <c r="B21" s="850" t="s">
        <v>425</v>
      </c>
      <c r="C21" s="429"/>
      <c r="D21" s="851"/>
      <c r="E21" s="852"/>
      <c r="F21" s="852"/>
      <c r="G21" s="851"/>
      <c r="H21" s="851"/>
      <c r="I21" s="851"/>
      <c r="J21" s="853"/>
      <c r="K21" s="853">
        <v>50000</v>
      </c>
      <c r="L21" s="757"/>
      <c r="M21" s="801"/>
      <c r="N21" s="65"/>
      <c r="O21" s="69"/>
      <c r="P21" s="357"/>
      <c r="Q21" s="57"/>
      <c r="R21" s="348"/>
      <c r="S21" s="57"/>
      <c r="T21" s="70"/>
      <c r="U21" s="869">
        <f t="shared" si="1"/>
        <v>0</v>
      </c>
      <c r="V21" s="70"/>
      <c r="W21" s="70"/>
    </row>
    <row r="22" spans="1:23" s="2" customFormat="1" ht="12.75" customHeight="1">
      <c r="A22" s="124">
        <v>1902</v>
      </c>
      <c r="B22" s="518" t="s">
        <v>139</v>
      </c>
      <c r="C22" s="427">
        <v>100000</v>
      </c>
      <c r="D22" s="398">
        <v>2815</v>
      </c>
      <c r="E22" s="404">
        <f>C22</f>
        <v>100000</v>
      </c>
      <c r="F22" s="404">
        <v>36664</v>
      </c>
      <c r="G22" s="398">
        <v>50000</v>
      </c>
      <c r="H22" s="398">
        <v>21502</v>
      </c>
      <c r="I22" s="398">
        <v>23173</v>
      </c>
      <c r="J22" s="757">
        <v>50000</v>
      </c>
      <c r="K22" s="757">
        <v>50000</v>
      </c>
      <c r="L22" s="757">
        <v>23612</v>
      </c>
      <c r="M22" s="801">
        <f t="shared" si="0"/>
        <v>0.47224</v>
      </c>
      <c r="N22" s="65"/>
      <c r="O22" s="69"/>
      <c r="P22" s="357"/>
      <c r="Q22" s="57">
        <f>J22</f>
        <v>50000</v>
      </c>
      <c r="R22" s="348"/>
      <c r="S22" s="57"/>
      <c r="T22" s="70"/>
      <c r="U22" s="869">
        <f t="shared" si="1"/>
        <v>23612</v>
      </c>
      <c r="V22" s="70"/>
      <c r="W22" s="70"/>
    </row>
    <row r="23" spans="1:23" s="2" customFormat="1" ht="12.75" customHeight="1">
      <c r="A23" s="124">
        <v>1306</v>
      </c>
      <c r="B23" s="830" t="s">
        <v>69</v>
      </c>
      <c r="C23" s="430">
        <v>30000</v>
      </c>
      <c r="D23" s="398">
        <v>40346</v>
      </c>
      <c r="E23" s="404">
        <f>C23</f>
        <v>30000</v>
      </c>
      <c r="F23" s="404">
        <v>45600</v>
      </c>
      <c r="G23" s="398">
        <v>42000</v>
      </c>
      <c r="H23" s="398"/>
      <c r="I23" s="398"/>
      <c r="J23" s="757">
        <v>50000</v>
      </c>
      <c r="K23" s="757">
        <v>50000</v>
      </c>
      <c r="L23" s="757">
        <v>0</v>
      </c>
      <c r="M23" s="801">
        <f t="shared" si="0"/>
        <v>0</v>
      </c>
      <c r="N23" s="65"/>
      <c r="O23" s="69"/>
      <c r="P23" s="357"/>
      <c r="Q23" s="57">
        <f>J23</f>
        <v>50000</v>
      </c>
      <c r="R23" s="348"/>
      <c r="S23" s="57"/>
      <c r="T23" s="70"/>
      <c r="U23" s="869">
        <f t="shared" si="1"/>
        <v>0</v>
      </c>
      <c r="V23" s="70"/>
      <c r="W23" s="70"/>
    </row>
    <row r="24" spans="1:23" s="2" customFormat="1" ht="12.75" customHeight="1" hidden="1">
      <c r="A24" s="124">
        <v>1317</v>
      </c>
      <c r="B24" s="518" t="s">
        <v>176</v>
      </c>
      <c r="C24" s="430"/>
      <c r="D24" s="398">
        <v>37000</v>
      </c>
      <c r="E24" s="404"/>
      <c r="F24" s="404"/>
      <c r="G24" s="398"/>
      <c r="H24" s="398"/>
      <c r="I24" s="398"/>
      <c r="J24" s="757"/>
      <c r="K24" s="757"/>
      <c r="L24" s="757"/>
      <c r="M24" s="801" t="e">
        <f t="shared" si="0"/>
        <v>#DIV/0!</v>
      </c>
      <c r="N24" s="65"/>
      <c r="O24" s="69"/>
      <c r="P24" s="357"/>
      <c r="Q24" s="57"/>
      <c r="R24" s="348"/>
      <c r="S24" s="57"/>
      <c r="T24" s="70"/>
      <c r="U24" s="869">
        <f t="shared" si="1"/>
        <v>0</v>
      </c>
      <c r="V24" s="70"/>
      <c r="W24" s="70"/>
    </row>
    <row r="25" spans="1:23" s="2" customFormat="1" ht="12.75" customHeight="1">
      <c r="A25" s="124">
        <v>1313</v>
      </c>
      <c r="B25" s="830" t="s">
        <v>24</v>
      </c>
      <c r="C25" s="430">
        <v>40000</v>
      </c>
      <c r="D25" s="398">
        <v>37752</v>
      </c>
      <c r="E25" s="404">
        <f>C25</f>
        <v>40000</v>
      </c>
      <c r="F25" s="404">
        <v>33632</v>
      </c>
      <c r="G25" s="398">
        <v>60000</v>
      </c>
      <c r="H25" s="398">
        <v>11920</v>
      </c>
      <c r="I25" s="398">
        <v>31920</v>
      </c>
      <c r="J25" s="757">
        <f>60000-30000</f>
        <v>30000</v>
      </c>
      <c r="K25" s="757">
        <f>60000-30000</f>
        <v>30000</v>
      </c>
      <c r="L25" s="757">
        <f>28312-L49</f>
        <v>8312</v>
      </c>
      <c r="M25" s="801">
        <f t="shared" si="0"/>
        <v>0.2770666666666667</v>
      </c>
      <c r="N25" s="65"/>
      <c r="O25" s="69"/>
      <c r="P25" s="357"/>
      <c r="Q25" s="57">
        <f aca="true" t="shared" si="2" ref="Q25:Q31">J25</f>
        <v>30000</v>
      </c>
      <c r="R25" s="348"/>
      <c r="S25" s="57"/>
      <c r="T25" s="70"/>
      <c r="U25" s="869">
        <f t="shared" si="1"/>
        <v>8312</v>
      </c>
      <c r="V25" s="70"/>
      <c r="W25" s="70"/>
    </row>
    <row r="26" spans="1:23" s="2" customFormat="1" ht="12.75" customHeight="1">
      <c r="A26" s="124">
        <v>1318</v>
      </c>
      <c r="B26" s="830" t="s">
        <v>25</v>
      </c>
      <c r="C26" s="430">
        <v>40000</v>
      </c>
      <c r="D26" s="398">
        <v>28894</v>
      </c>
      <c r="E26" s="404">
        <v>15265</v>
      </c>
      <c r="F26" s="404">
        <v>15801</v>
      </c>
      <c r="G26" s="398">
        <v>40000</v>
      </c>
      <c r="H26" s="398">
        <v>19699</v>
      </c>
      <c r="I26" s="398">
        <v>19699</v>
      </c>
      <c r="J26" s="757">
        <v>19000</v>
      </c>
      <c r="K26" s="757">
        <v>19000</v>
      </c>
      <c r="L26" s="757">
        <v>28689</v>
      </c>
      <c r="M26" s="801">
        <f t="shared" si="0"/>
        <v>1.5099473684210527</v>
      </c>
      <c r="N26" s="65"/>
      <c r="O26" s="69"/>
      <c r="P26" s="357"/>
      <c r="Q26" s="57">
        <f t="shared" si="2"/>
        <v>19000</v>
      </c>
      <c r="R26" s="348"/>
      <c r="S26" s="57">
        <v>9000</v>
      </c>
      <c r="T26" s="70"/>
      <c r="U26" s="869">
        <f t="shared" si="1"/>
        <v>28689</v>
      </c>
      <c r="V26" s="70"/>
      <c r="W26" s="70"/>
    </row>
    <row r="27" spans="1:23" s="2" customFormat="1" ht="12.75" customHeight="1">
      <c r="A27" s="124">
        <v>1311</v>
      </c>
      <c r="B27" s="830" t="s">
        <v>26</v>
      </c>
      <c r="C27" s="430">
        <v>120000</v>
      </c>
      <c r="D27" s="398">
        <v>135729</v>
      </c>
      <c r="E27" s="404">
        <v>127328</v>
      </c>
      <c r="F27" s="404">
        <v>117696</v>
      </c>
      <c r="G27" s="398">
        <v>130000</v>
      </c>
      <c r="H27" s="398"/>
      <c r="I27" s="398"/>
      <c r="J27" s="757">
        <v>130000</v>
      </c>
      <c r="K27" s="757">
        <v>130000</v>
      </c>
      <c r="L27" s="757"/>
      <c r="M27" s="801">
        <f t="shared" si="0"/>
        <v>0</v>
      </c>
      <c r="N27" s="65"/>
      <c r="O27" s="69"/>
      <c r="P27" s="357"/>
      <c r="Q27" s="57">
        <f t="shared" si="2"/>
        <v>130000</v>
      </c>
      <c r="R27" s="348"/>
      <c r="S27" s="57"/>
      <c r="T27" s="70"/>
      <c r="U27" s="869">
        <f t="shared" si="1"/>
        <v>0</v>
      </c>
      <c r="V27" s="70"/>
      <c r="W27" s="70"/>
    </row>
    <row r="28" spans="1:23" s="2" customFormat="1" ht="12.75" customHeight="1" hidden="1">
      <c r="A28" s="124">
        <v>1500</v>
      </c>
      <c r="B28" s="518" t="s">
        <v>20</v>
      </c>
      <c r="C28" s="430">
        <v>402930</v>
      </c>
      <c r="D28" s="398">
        <v>452092</v>
      </c>
      <c r="E28" s="404">
        <v>510154</v>
      </c>
      <c r="F28" s="404">
        <v>628230</v>
      </c>
      <c r="G28" s="398"/>
      <c r="H28" s="398">
        <v>40635</v>
      </c>
      <c r="I28" s="398">
        <v>40635</v>
      </c>
      <c r="J28" s="757">
        <v>0</v>
      </c>
      <c r="K28" s="757">
        <v>0</v>
      </c>
      <c r="L28" s="757"/>
      <c r="M28" s="801" t="e">
        <f t="shared" si="0"/>
        <v>#DIV/0!</v>
      </c>
      <c r="N28" s="65"/>
      <c r="O28" s="69"/>
      <c r="P28" s="357"/>
      <c r="Q28" s="57">
        <f t="shared" si="2"/>
        <v>0</v>
      </c>
      <c r="R28" s="348"/>
      <c r="S28" s="57"/>
      <c r="T28" s="70"/>
      <c r="U28" s="869">
        <f t="shared" si="1"/>
        <v>0</v>
      </c>
      <c r="V28" s="70"/>
      <c r="W28" s="70"/>
    </row>
    <row r="29" spans="1:23" s="2" customFormat="1" ht="12.75" customHeight="1">
      <c r="A29" s="124">
        <v>1323</v>
      </c>
      <c r="B29" s="830" t="s">
        <v>40</v>
      </c>
      <c r="C29" s="430">
        <v>50000</v>
      </c>
      <c r="D29" s="398">
        <v>26825</v>
      </c>
      <c r="E29" s="404">
        <v>15397</v>
      </c>
      <c r="F29" s="404">
        <v>15397</v>
      </c>
      <c r="G29" s="398">
        <v>30000</v>
      </c>
      <c r="H29" s="398">
        <v>16672</v>
      </c>
      <c r="I29" s="398">
        <v>16762</v>
      </c>
      <c r="J29" s="757">
        <v>30000</v>
      </c>
      <c r="K29" s="757">
        <v>30000</v>
      </c>
      <c r="L29" s="757">
        <v>15408</v>
      </c>
      <c r="M29" s="801">
        <f t="shared" si="0"/>
        <v>0.5136</v>
      </c>
      <c r="N29" s="65"/>
      <c r="O29" s="69"/>
      <c r="P29" s="357"/>
      <c r="Q29" s="57">
        <f t="shared" si="2"/>
        <v>30000</v>
      </c>
      <c r="R29" s="348"/>
      <c r="S29" s="57">
        <v>12000</v>
      </c>
      <c r="T29" s="70"/>
      <c r="U29" s="869">
        <f t="shared" si="1"/>
        <v>15408</v>
      </c>
      <c r="V29" s="70"/>
      <c r="W29" s="70"/>
    </row>
    <row r="30" spans="1:23" s="2" customFormat="1" ht="12.75" customHeight="1">
      <c r="A30" s="124">
        <v>1324</v>
      </c>
      <c r="B30" s="830" t="s">
        <v>41</v>
      </c>
      <c r="C30" s="430">
        <v>30000</v>
      </c>
      <c r="D30" s="398">
        <v>64487</v>
      </c>
      <c r="E30" s="404">
        <f>C30</f>
        <v>30000</v>
      </c>
      <c r="F30" s="404">
        <v>42642</v>
      </c>
      <c r="G30" s="398">
        <v>60000</v>
      </c>
      <c r="H30" s="398">
        <v>29980</v>
      </c>
      <c r="I30" s="398">
        <v>29980</v>
      </c>
      <c r="J30" s="757">
        <v>70000</v>
      </c>
      <c r="K30" s="757">
        <v>70000</v>
      </c>
      <c r="L30" s="757">
        <v>31700</v>
      </c>
      <c r="M30" s="801">
        <f t="shared" si="0"/>
        <v>0.45285714285714285</v>
      </c>
      <c r="N30" s="65"/>
      <c r="O30" s="69"/>
      <c r="P30" s="357"/>
      <c r="Q30" s="57">
        <f t="shared" si="2"/>
        <v>70000</v>
      </c>
      <c r="R30" s="348"/>
      <c r="S30" s="57">
        <v>50000</v>
      </c>
      <c r="T30" s="70"/>
      <c r="U30" s="869">
        <f t="shared" si="1"/>
        <v>31700</v>
      </c>
      <c r="V30" s="70"/>
      <c r="W30" s="70"/>
    </row>
    <row r="31" spans="1:23" s="2" customFormat="1" ht="12.75" customHeight="1">
      <c r="A31" s="124">
        <v>1325</v>
      </c>
      <c r="B31" s="833" t="s">
        <v>177</v>
      </c>
      <c r="C31" s="430">
        <v>80000</v>
      </c>
      <c r="D31" s="398">
        <v>291326</v>
      </c>
      <c r="E31" s="404">
        <v>316888</v>
      </c>
      <c r="F31" s="404">
        <v>316888</v>
      </c>
      <c r="G31" s="398">
        <v>330000</v>
      </c>
      <c r="H31" s="398">
        <v>309354</v>
      </c>
      <c r="I31" s="398">
        <v>316554</v>
      </c>
      <c r="J31" s="835">
        <f>355000-40000-50000</f>
        <v>265000</v>
      </c>
      <c r="K31" s="835">
        <f>355000-40000-50000</f>
        <v>265000</v>
      </c>
      <c r="L31" s="835">
        <v>301188</v>
      </c>
      <c r="M31" s="836">
        <f t="shared" si="0"/>
        <v>1.1365584905660377</v>
      </c>
      <c r="N31" s="65"/>
      <c r="O31" s="69"/>
      <c r="P31" s="357"/>
      <c r="Q31" s="57">
        <f t="shared" si="2"/>
        <v>265000</v>
      </c>
      <c r="R31" s="348"/>
      <c r="S31" s="57">
        <v>75000</v>
      </c>
      <c r="T31" s="70"/>
      <c r="U31" s="869">
        <f t="shared" si="1"/>
        <v>301188</v>
      </c>
      <c r="V31" s="70"/>
      <c r="W31" s="70"/>
    </row>
    <row r="32" spans="1:23" s="2" customFormat="1" ht="12.75" customHeight="1" hidden="1">
      <c r="A32" s="124"/>
      <c r="B32" s="535" t="s">
        <v>178</v>
      </c>
      <c r="C32" s="576"/>
      <c r="D32" s="577"/>
      <c r="E32" s="577">
        <v>50000</v>
      </c>
      <c r="F32" s="577">
        <v>50000</v>
      </c>
      <c r="G32" s="577"/>
      <c r="H32" s="577"/>
      <c r="I32" s="406"/>
      <c r="J32" s="835"/>
      <c r="K32" s="835"/>
      <c r="L32" s="835"/>
      <c r="M32" s="836" t="e">
        <f t="shared" si="0"/>
        <v>#DIV/0!</v>
      </c>
      <c r="N32" s="65"/>
      <c r="O32" s="69"/>
      <c r="P32" s="357"/>
      <c r="Q32" s="57"/>
      <c r="R32" s="348"/>
      <c r="S32" s="57"/>
      <c r="T32" s="70"/>
      <c r="U32" s="869">
        <f t="shared" si="1"/>
        <v>0</v>
      </c>
      <c r="V32" s="70"/>
      <c r="W32" s="70"/>
    </row>
    <row r="33" spans="1:23" s="2" customFormat="1" ht="12.75" customHeight="1">
      <c r="A33" s="124">
        <v>1312</v>
      </c>
      <c r="B33" s="834" t="s">
        <v>179</v>
      </c>
      <c r="C33" s="576">
        <v>370000</v>
      </c>
      <c r="D33" s="577">
        <v>246390</v>
      </c>
      <c r="E33" s="593">
        <f>C33</f>
        <v>370000</v>
      </c>
      <c r="F33" s="593">
        <v>309048</v>
      </c>
      <c r="G33" s="577">
        <v>370000</v>
      </c>
      <c r="H33" s="577">
        <v>52</v>
      </c>
      <c r="I33" s="398">
        <v>2551</v>
      </c>
      <c r="J33" s="835">
        <v>270000</v>
      </c>
      <c r="K33" s="835">
        <v>270000</v>
      </c>
      <c r="L33" s="835">
        <v>267521</v>
      </c>
      <c r="M33" s="836">
        <f t="shared" si="0"/>
        <v>0.9908185185185185</v>
      </c>
      <c r="N33" s="65"/>
      <c r="O33" s="69"/>
      <c r="P33" s="357"/>
      <c r="Q33" s="57">
        <f aca="true" t="shared" si="3" ref="Q33:Q40">J33</f>
        <v>270000</v>
      </c>
      <c r="R33" s="348"/>
      <c r="S33" s="57"/>
      <c r="T33" s="70"/>
      <c r="U33" s="869">
        <f t="shared" si="1"/>
        <v>267521</v>
      </c>
      <c r="V33" s="70"/>
      <c r="W33" s="70"/>
    </row>
    <row r="34" spans="1:23" s="2" customFormat="1" ht="12.75" customHeight="1" hidden="1">
      <c r="A34" s="124"/>
      <c r="B34" s="644" t="s">
        <v>341</v>
      </c>
      <c r="C34" s="576"/>
      <c r="D34" s="577"/>
      <c r="E34" s="593"/>
      <c r="F34" s="593"/>
      <c r="G34" s="577"/>
      <c r="H34" s="577"/>
      <c r="I34" s="398"/>
      <c r="J34" s="757">
        <v>0</v>
      </c>
      <c r="K34" s="757">
        <v>0</v>
      </c>
      <c r="L34" s="757"/>
      <c r="M34" s="801" t="e">
        <f t="shared" si="0"/>
        <v>#DIV/0!</v>
      </c>
      <c r="N34" s="65"/>
      <c r="O34" s="69"/>
      <c r="P34" s="357"/>
      <c r="Q34" s="57">
        <f t="shared" si="3"/>
        <v>0</v>
      </c>
      <c r="R34" s="348"/>
      <c r="S34" s="57" t="s">
        <v>356</v>
      </c>
      <c r="T34" s="70"/>
      <c r="U34" s="869">
        <f t="shared" si="1"/>
        <v>0</v>
      </c>
      <c r="V34" s="70"/>
      <c r="W34" s="70"/>
    </row>
    <row r="35" spans="1:23" s="2" customFormat="1" ht="12.75" customHeight="1" hidden="1">
      <c r="A35" s="124"/>
      <c r="B35" s="592" t="s">
        <v>245</v>
      </c>
      <c r="C35" s="576"/>
      <c r="D35" s="577"/>
      <c r="E35" s="593"/>
      <c r="F35" s="593"/>
      <c r="G35" s="577"/>
      <c r="H35" s="577"/>
      <c r="I35" s="398"/>
      <c r="J35" s="757"/>
      <c r="K35" s="757"/>
      <c r="L35" s="757"/>
      <c r="M35" s="801" t="e">
        <f t="shared" si="0"/>
        <v>#DIV/0!</v>
      </c>
      <c r="N35" s="65"/>
      <c r="O35" s="69"/>
      <c r="P35" s="357"/>
      <c r="Q35" s="57">
        <f t="shared" si="3"/>
        <v>0</v>
      </c>
      <c r="R35" s="348"/>
      <c r="S35" s="57"/>
      <c r="T35" s="70"/>
      <c r="U35" s="869">
        <f t="shared" si="1"/>
        <v>0</v>
      </c>
      <c r="V35" s="70"/>
      <c r="W35" s="70"/>
    </row>
    <row r="36" spans="1:23" s="2" customFormat="1" ht="12.75" customHeight="1">
      <c r="A36" s="124">
        <v>1328</v>
      </c>
      <c r="B36" s="831" t="s">
        <v>44</v>
      </c>
      <c r="C36" s="576">
        <v>20000</v>
      </c>
      <c r="D36" s="577">
        <v>36664</v>
      </c>
      <c r="E36" s="593">
        <v>30050</v>
      </c>
      <c r="F36" s="593">
        <v>30050</v>
      </c>
      <c r="G36" s="577">
        <v>40000</v>
      </c>
      <c r="H36" s="577">
        <v>12</v>
      </c>
      <c r="I36" s="398">
        <v>7114</v>
      </c>
      <c r="J36" s="757">
        <v>38000</v>
      </c>
      <c r="K36" s="757">
        <v>38000</v>
      </c>
      <c r="L36" s="757">
        <v>7695</v>
      </c>
      <c r="M36" s="801">
        <f t="shared" si="0"/>
        <v>0.2025</v>
      </c>
      <c r="N36" s="65"/>
      <c r="O36" s="69"/>
      <c r="P36" s="357"/>
      <c r="Q36" s="57">
        <f t="shared" si="3"/>
        <v>38000</v>
      </c>
      <c r="R36" s="348"/>
      <c r="S36" s="57">
        <v>24000</v>
      </c>
      <c r="T36" s="70"/>
      <c r="U36" s="869">
        <f t="shared" si="1"/>
        <v>7695</v>
      </c>
      <c r="V36" s="70"/>
      <c r="W36" s="70"/>
    </row>
    <row r="37" spans="1:23" s="2" customFormat="1" ht="12.75" customHeight="1">
      <c r="A37" s="124">
        <v>1316</v>
      </c>
      <c r="B37" s="831" t="s">
        <v>220</v>
      </c>
      <c r="C37" s="576">
        <v>60000</v>
      </c>
      <c r="D37" s="577">
        <v>148949</v>
      </c>
      <c r="E37" s="593">
        <v>38895</v>
      </c>
      <c r="F37" s="593">
        <v>38895</v>
      </c>
      <c r="G37" s="577">
        <v>50000</v>
      </c>
      <c r="H37" s="577">
        <v>42335</v>
      </c>
      <c r="I37" s="398">
        <v>42335</v>
      </c>
      <c r="J37" s="757">
        <v>60000</v>
      </c>
      <c r="K37" s="757">
        <v>60000</v>
      </c>
      <c r="L37" s="757">
        <v>40439</v>
      </c>
      <c r="M37" s="801">
        <f t="shared" si="0"/>
        <v>0.6739833333333334</v>
      </c>
      <c r="N37" s="65"/>
      <c r="O37" s="69"/>
      <c r="P37" s="357"/>
      <c r="Q37" s="57">
        <f t="shared" si="3"/>
        <v>60000</v>
      </c>
      <c r="R37" s="348"/>
      <c r="S37" s="57">
        <v>30000</v>
      </c>
      <c r="T37" s="70"/>
      <c r="U37" s="869">
        <f t="shared" si="1"/>
        <v>40439</v>
      </c>
      <c r="V37" s="70"/>
      <c r="W37" s="70"/>
    </row>
    <row r="38" spans="1:23" s="2" customFormat="1" ht="12.75" customHeight="1">
      <c r="A38" s="124">
        <v>1208</v>
      </c>
      <c r="B38" s="831" t="s">
        <v>180</v>
      </c>
      <c r="C38" s="576">
        <v>50000</v>
      </c>
      <c r="D38" s="577">
        <v>145055</v>
      </c>
      <c r="E38" s="593">
        <f>C38</f>
        <v>50000</v>
      </c>
      <c r="F38" s="593">
        <v>184574</v>
      </c>
      <c r="G38" s="577">
        <v>123500</v>
      </c>
      <c r="H38" s="577">
        <v>112217</v>
      </c>
      <c r="I38" s="398">
        <v>112217</v>
      </c>
      <c r="J38" s="757">
        <v>155000</v>
      </c>
      <c r="K38" s="757">
        <v>155000</v>
      </c>
      <c r="L38" s="757">
        <v>117932</v>
      </c>
      <c r="M38" s="801">
        <f t="shared" si="0"/>
        <v>0.7608516129032258</v>
      </c>
      <c r="N38" s="65"/>
      <c r="O38" s="69"/>
      <c r="P38" s="357"/>
      <c r="Q38" s="57">
        <f t="shared" si="3"/>
        <v>155000</v>
      </c>
      <c r="R38" s="348"/>
      <c r="S38" s="57">
        <v>105000</v>
      </c>
      <c r="T38" s="70"/>
      <c r="U38" s="869">
        <f t="shared" si="1"/>
        <v>117932</v>
      </c>
      <c r="V38" s="70"/>
      <c r="W38" s="70"/>
    </row>
    <row r="39" spans="1:23" s="2" customFormat="1" ht="12.75" customHeight="1">
      <c r="A39" s="124">
        <v>1322</v>
      </c>
      <c r="B39" s="831" t="s">
        <v>221</v>
      </c>
      <c r="C39" s="576"/>
      <c r="D39" s="577"/>
      <c r="E39" s="593"/>
      <c r="F39" s="593"/>
      <c r="G39" s="577">
        <v>52000</v>
      </c>
      <c r="H39" s="577">
        <v>51462</v>
      </c>
      <c r="I39" s="398">
        <v>51462</v>
      </c>
      <c r="J39" s="757">
        <v>96000</v>
      </c>
      <c r="K39" s="757">
        <v>96000</v>
      </c>
      <c r="L39" s="757">
        <v>47617</v>
      </c>
      <c r="M39" s="801">
        <f t="shared" si="0"/>
        <v>0.4960104166666667</v>
      </c>
      <c r="N39" s="65"/>
      <c r="O39" s="69"/>
      <c r="P39" s="357"/>
      <c r="Q39" s="57">
        <f t="shared" si="3"/>
        <v>96000</v>
      </c>
      <c r="R39" s="348"/>
      <c r="S39" s="57">
        <v>66000</v>
      </c>
      <c r="T39" s="70"/>
      <c r="U39" s="869">
        <f t="shared" si="1"/>
        <v>47617</v>
      </c>
      <c r="V39" s="70"/>
      <c r="W39" s="70"/>
    </row>
    <row r="40" spans="1:23" s="2" customFormat="1" ht="12.75" customHeight="1">
      <c r="A40" s="124">
        <v>1321</v>
      </c>
      <c r="B40" s="831" t="s">
        <v>181</v>
      </c>
      <c r="C40" s="576">
        <v>15000</v>
      </c>
      <c r="D40" s="577">
        <v>15013</v>
      </c>
      <c r="E40" s="593">
        <f>C40</f>
        <v>15000</v>
      </c>
      <c r="F40" s="593">
        <v>15211</v>
      </c>
      <c r="G40" s="577">
        <v>15000</v>
      </c>
      <c r="H40" s="577">
        <v>0</v>
      </c>
      <c r="I40" s="398"/>
      <c r="J40" s="757">
        <v>15000</v>
      </c>
      <c r="K40" s="757">
        <v>15000</v>
      </c>
      <c r="L40" s="757">
        <v>0</v>
      </c>
      <c r="M40" s="801">
        <f t="shared" si="0"/>
        <v>0</v>
      </c>
      <c r="N40" s="65"/>
      <c r="O40" s="69"/>
      <c r="P40" s="357"/>
      <c r="Q40" s="57">
        <f t="shared" si="3"/>
        <v>15000</v>
      </c>
      <c r="R40" s="348"/>
      <c r="S40" s="57"/>
      <c r="T40" s="70"/>
      <c r="U40" s="869">
        <f t="shared" si="1"/>
        <v>0</v>
      </c>
      <c r="V40" s="70"/>
      <c r="W40" s="70"/>
    </row>
    <row r="41" spans="1:23" s="2" customFormat="1" ht="12.75" customHeight="1" hidden="1">
      <c r="A41" s="124">
        <v>1304</v>
      </c>
      <c r="B41" s="592" t="s">
        <v>45</v>
      </c>
      <c r="C41" s="576">
        <v>20000</v>
      </c>
      <c r="D41" s="577">
        <v>9000</v>
      </c>
      <c r="E41" s="593">
        <f>C41</f>
        <v>20000</v>
      </c>
      <c r="F41" s="593">
        <v>20602</v>
      </c>
      <c r="G41" s="577"/>
      <c r="H41" s="577">
        <v>0</v>
      </c>
      <c r="I41" s="398"/>
      <c r="J41" s="757"/>
      <c r="K41" s="757"/>
      <c r="L41" s="757"/>
      <c r="M41" s="801" t="e">
        <f t="shared" si="0"/>
        <v>#DIV/0!</v>
      </c>
      <c r="N41" s="65"/>
      <c r="O41" s="69"/>
      <c r="P41" s="357"/>
      <c r="Q41" s="57"/>
      <c r="R41" s="348"/>
      <c r="S41" s="57"/>
      <c r="T41" s="70"/>
      <c r="U41" s="869">
        <f t="shared" si="1"/>
        <v>0</v>
      </c>
      <c r="V41" s="70"/>
      <c r="W41" s="70"/>
    </row>
    <row r="42" spans="1:23" s="2" customFormat="1" ht="12.75" customHeight="1">
      <c r="A42" s="124">
        <v>1320</v>
      </c>
      <c r="B42" s="834" t="s">
        <v>182</v>
      </c>
      <c r="C42" s="576">
        <v>50000</v>
      </c>
      <c r="D42" s="577">
        <v>5500</v>
      </c>
      <c r="E42" s="593">
        <v>54436</v>
      </c>
      <c r="F42" s="593">
        <v>54436</v>
      </c>
      <c r="G42" s="577">
        <v>80000</v>
      </c>
      <c r="H42" s="577">
        <v>1295</v>
      </c>
      <c r="I42" s="398">
        <v>9535</v>
      </c>
      <c r="J42" s="835">
        <f>80000-10000</f>
        <v>70000</v>
      </c>
      <c r="K42" s="835">
        <f>80000-10000</f>
        <v>70000</v>
      </c>
      <c r="L42" s="835">
        <v>7631</v>
      </c>
      <c r="M42" s="836">
        <f t="shared" si="0"/>
        <v>0.10901428571428572</v>
      </c>
      <c r="N42" s="65"/>
      <c r="O42" s="69"/>
      <c r="P42" s="357"/>
      <c r="Q42" s="57">
        <f>J42</f>
        <v>70000</v>
      </c>
      <c r="R42" s="348"/>
      <c r="S42" s="57">
        <v>30000</v>
      </c>
      <c r="T42" s="70"/>
      <c r="U42" s="869">
        <f t="shared" si="1"/>
        <v>7631</v>
      </c>
      <c r="V42" s="70"/>
      <c r="W42" s="70"/>
    </row>
    <row r="43" spans="1:23" s="2" customFormat="1" ht="12.75" customHeight="1" hidden="1">
      <c r="A43" s="124"/>
      <c r="B43" s="592" t="s">
        <v>183</v>
      </c>
      <c r="C43" s="576"/>
      <c r="D43" s="577"/>
      <c r="E43" s="593">
        <v>10000</v>
      </c>
      <c r="F43" s="593">
        <v>10000</v>
      </c>
      <c r="G43" s="577"/>
      <c r="H43" s="577"/>
      <c r="I43" s="406"/>
      <c r="J43" s="757"/>
      <c r="K43" s="757"/>
      <c r="L43" s="757"/>
      <c r="M43" s="801" t="e">
        <f t="shared" si="0"/>
        <v>#DIV/0!</v>
      </c>
      <c r="N43" s="65"/>
      <c r="O43" s="69"/>
      <c r="P43" s="357"/>
      <c r="Q43" s="57"/>
      <c r="R43" s="348"/>
      <c r="S43" s="57"/>
      <c r="T43" s="70"/>
      <c r="U43" s="869">
        <f t="shared" si="1"/>
        <v>0</v>
      </c>
      <c r="V43" s="70"/>
      <c r="W43" s="70"/>
    </row>
    <row r="44" spans="1:23" s="2" customFormat="1" ht="12.75" customHeight="1">
      <c r="A44" s="124">
        <v>1305</v>
      </c>
      <c r="B44" s="592" t="s">
        <v>343</v>
      </c>
      <c r="C44" s="576">
        <v>20000</v>
      </c>
      <c r="D44" s="577">
        <v>19921</v>
      </c>
      <c r="E44" s="593">
        <f>C44</f>
        <v>20000</v>
      </c>
      <c r="F44" s="593">
        <v>12524</v>
      </c>
      <c r="G44" s="577">
        <v>20000</v>
      </c>
      <c r="H44" s="577">
        <v>7744</v>
      </c>
      <c r="I44" s="398">
        <v>8349</v>
      </c>
      <c r="J44" s="757">
        <v>10000</v>
      </c>
      <c r="K44" s="757">
        <v>10000</v>
      </c>
      <c r="L44" s="757">
        <v>12100</v>
      </c>
      <c r="M44" s="801">
        <f t="shared" si="0"/>
        <v>1.21</v>
      </c>
      <c r="N44" s="65"/>
      <c r="O44" s="69"/>
      <c r="P44" s="357"/>
      <c r="Q44" s="57">
        <f>J44</f>
        <v>10000</v>
      </c>
      <c r="R44" s="348"/>
      <c r="S44" s="57"/>
      <c r="T44" s="70"/>
      <c r="U44" s="869">
        <f t="shared" si="1"/>
        <v>12100</v>
      </c>
      <c r="V44" s="70"/>
      <c r="W44" s="70"/>
    </row>
    <row r="45" spans="1:23" s="2" customFormat="1" ht="12.75" customHeight="1">
      <c r="A45" s="124">
        <v>1905</v>
      </c>
      <c r="B45" s="831" t="s">
        <v>186</v>
      </c>
      <c r="C45" s="576"/>
      <c r="D45" s="577"/>
      <c r="E45" s="593">
        <v>40000</v>
      </c>
      <c r="F45" s="593">
        <v>85118</v>
      </c>
      <c r="G45" s="577">
        <v>90000</v>
      </c>
      <c r="H45" s="577">
        <v>70</v>
      </c>
      <c r="I45" s="406">
        <v>6074</v>
      </c>
      <c r="J45" s="757">
        <v>80000</v>
      </c>
      <c r="K45" s="757">
        <v>80000</v>
      </c>
      <c r="L45" s="757">
        <v>0</v>
      </c>
      <c r="M45" s="801">
        <f t="shared" si="0"/>
        <v>0</v>
      </c>
      <c r="N45" s="65"/>
      <c r="O45" s="69"/>
      <c r="P45" s="357"/>
      <c r="Q45" s="57">
        <f>J45</f>
        <v>80000</v>
      </c>
      <c r="R45" s="348"/>
      <c r="S45" s="57"/>
      <c r="T45" s="70"/>
      <c r="U45" s="869">
        <f t="shared" si="1"/>
        <v>0</v>
      </c>
      <c r="V45" s="70"/>
      <c r="W45" s="70"/>
    </row>
    <row r="46" spans="1:23" s="2" customFormat="1" ht="12.75" customHeight="1" hidden="1">
      <c r="A46" s="124"/>
      <c r="B46" s="592" t="s">
        <v>308</v>
      </c>
      <c r="C46" s="576"/>
      <c r="D46" s="577"/>
      <c r="E46" s="593">
        <v>15000</v>
      </c>
      <c r="F46" s="593">
        <v>15000</v>
      </c>
      <c r="G46" s="577"/>
      <c r="H46" s="577"/>
      <c r="I46" s="406"/>
      <c r="J46" s="757"/>
      <c r="K46" s="757"/>
      <c r="L46" s="757"/>
      <c r="M46" s="801" t="e">
        <f t="shared" si="0"/>
        <v>#DIV/0!</v>
      </c>
      <c r="N46" s="65"/>
      <c r="O46" s="69"/>
      <c r="P46" s="357"/>
      <c r="Q46" s="57"/>
      <c r="R46" s="348"/>
      <c r="S46" s="57"/>
      <c r="T46" s="70"/>
      <c r="U46" s="869">
        <f t="shared" si="1"/>
        <v>0</v>
      </c>
      <c r="V46" s="70"/>
      <c r="W46" s="70"/>
    </row>
    <row r="47" spans="1:23" s="2" customFormat="1" ht="12.75" customHeight="1">
      <c r="A47" s="124">
        <v>1308</v>
      </c>
      <c r="B47" s="834" t="s">
        <v>317</v>
      </c>
      <c r="C47" s="576"/>
      <c r="D47" s="577"/>
      <c r="E47" s="593"/>
      <c r="F47" s="593">
        <v>86701</v>
      </c>
      <c r="G47" s="577">
        <v>210000</v>
      </c>
      <c r="H47" s="577">
        <v>1984</v>
      </c>
      <c r="I47" s="406">
        <v>194070</v>
      </c>
      <c r="J47" s="835">
        <v>106000</v>
      </c>
      <c r="K47" s="835">
        <v>106000</v>
      </c>
      <c r="L47" s="835">
        <v>1023</v>
      </c>
      <c r="M47" s="836">
        <f t="shared" si="0"/>
        <v>0.009650943396226415</v>
      </c>
      <c r="N47" s="65"/>
      <c r="O47" s="69"/>
      <c r="P47" s="357"/>
      <c r="Q47" s="57">
        <f aca="true" t="shared" si="4" ref="Q47:Q52">J47</f>
        <v>106000</v>
      </c>
      <c r="R47" s="348"/>
      <c r="S47" s="57">
        <v>6000</v>
      </c>
      <c r="T47" s="70"/>
      <c r="U47" s="869">
        <f t="shared" si="1"/>
        <v>1023</v>
      </c>
      <c r="V47" s="70"/>
      <c r="W47" s="70"/>
    </row>
    <row r="48" spans="1:23" s="2" customFormat="1" ht="12.75" customHeight="1" hidden="1">
      <c r="A48" s="124">
        <v>1331</v>
      </c>
      <c r="B48" s="592" t="s">
        <v>254</v>
      </c>
      <c r="C48" s="576"/>
      <c r="D48" s="577"/>
      <c r="E48" s="593"/>
      <c r="F48" s="593"/>
      <c r="G48" s="577">
        <v>90000</v>
      </c>
      <c r="H48" s="577"/>
      <c r="I48" s="406">
        <v>1305</v>
      </c>
      <c r="J48" s="757"/>
      <c r="K48" s="757"/>
      <c r="L48" s="757"/>
      <c r="M48" s="801" t="e">
        <f t="shared" si="0"/>
        <v>#DIV/0!</v>
      </c>
      <c r="N48" s="65"/>
      <c r="O48" s="69"/>
      <c r="P48" s="357"/>
      <c r="Q48" s="57">
        <f t="shared" si="4"/>
        <v>0</v>
      </c>
      <c r="R48" s="348"/>
      <c r="S48" s="57"/>
      <c r="T48" s="70"/>
      <c r="U48" s="869">
        <f t="shared" si="1"/>
        <v>0</v>
      </c>
      <c r="V48" s="70"/>
      <c r="W48" s="70"/>
    </row>
    <row r="49" spans="1:23" s="2" customFormat="1" ht="12.75" customHeight="1">
      <c r="A49" s="124">
        <v>1313</v>
      </c>
      <c r="B49" s="832" t="s">
        <v>342</v>
      </c>
      <c r="C49" s="798"/>
      <c r="D49" s="398"/>
      <c r="E49" s="404"/>
      <c r="F49" s="404"/>
      <c r="G49" s="398"/>
      <c r="H49" s="398"/>
      <c r="I49" s="398"/>
      <c r="J49" s="757">
        <v>20000</v>
      </c>
      <c r="K49" s="757">
        <v>20000</v>
      </c>
      <c r="L49" s="757">
        <v>20000</v>
      </c>
      <c r="M49" s="801">
        <f t="shared" si="0"/>
        <v>1</v>
      </c>
      <c r="N49" s="65"/>
      <c r="O49" s="69"/>
      <c r="P49" s="357"/>
      <c r="Q49" s="57">
        <f t="shared" si="4"/>
        <v>20000</v>
      </c>
      <c r="R49" s="348"/>
      <c r="S49" s="57"/>
      <c r="T49" s="70"/>
      <c r="U49" s="869">
        <f t="shared" si="1"/>
        <v>20000</v>
      </c>
      <c r="V49" s="70"/>
      <c r="W49" s="70"/>
    </row>
    <row r="50" spans="1:23" s="2" customFormat="1" ht="12.75" customHeight="1">
      <c r="A50" s="124">
        <v>1302</v>
      </c>
      <c r="B50" s="832" t="s">
        <v>344</v>
      </c>
      <c r="C50" s="798"/>
      <c r="D50" s="398"/>
      <c r="E50" s="404"/>
      <c r="F50" s="404"/>
      <c r="G50" s="398"/>
      <c r="H50" s="398"/>
      <c r="I50" s="398"/>
      <c r="J50" s="757">
        <v>10000</v>
      </c>
      <c r="K50" s="757">
        <v>10000</v>
      </c>
      <c r="L50" s="757">
        <v>10000</v>
      </c>
      <c r="M50" s="801">
        <f t="shared" si="0"/>
        <v>1</v>
      </c>
      <c r="N50" s="65"/>
      <c r="O50" s="69"/>
      <c r="P50" s="357"/>
      <c r="Q50" s="57">
        <f t="shared" si="4"/>
        <v>10000</v>
      </c>
      <c r="R50" s="348"/>
      <c r="S50" s="57"/>
      <c r="T50" s="70"/>
      <c r="U50" s="869">
        <f t="shared" si="1"/>
        <v>10000</v>
      </c>
      <c r="V50" s="70"/>
      <c r="W50" s="70"/>
    </row>
    <row r="51" spans="1:23" s="2" customFormat="1" ht="12.75" customHeight="1" hidden="1">
      <c r="A51" s="124"/>
      <c r="B51" s="530" t="s">
        <v>225</v>
      </c>
      <c r="C51" s="798"/>
      <c r="D51" s="398"/>
      <c r="E51" s="404"/>
      <c r="F51" s="404"/>
      <c r="G51" s="398"/>
      <c r="H51" s="398"/>
      <c r="I51" s="398"/>
      <c r="J51" s="757"/>
      <c r="K51" s="757"/>
      <c r="L51" s="757"/>
      <c r="M51" s="801" t="e">
        <f t="shared" si="0"/>
        <v>#DIV/0!</v>
      </c>
      <c r="N51" s="65"/>
      <c r="O51" s="69"/>
      <c r="P51" s="357"/>
      <c r="Q51" s="57">
        <f t="shared" si="4"/>
        <v>0</v>
      </c>
      <c r="R51" s="57"/>
      <c r="S51" s="57"/>
      <c r="T51" s="70"/>
      <c r="U51" s="869">
        <f t="shared" si="1"/>
        <v>0</v>
      </c>
      <c r="V51" s="70"/>
      <c r="W51" s="70"/>
    </row>
    <row r="52" spans="1:23" s="2" customFormat="1" ht="12.75" customHeight="1" hidden="1">
      <c r="A52" s="124"/>
      <c r="B52" s="530" t="s">
        <v>226</v>
      </c>
      <c r="C52" s="798"/>
      <c r="D52" s="398"/>
      <c r="E52" s="404"/>
      <c r="F52" s="404"/>
      <c r="G52" s="398"/>
      <c r="H52" s="398"/>
      <c r="I52" s="398"/>
      <c r="J52" s="757"/>
      <c r="K52" s="757"/>
      <c r="L52" s="757"/>
      <c r="M52" s="801" t="e">
        <f t="shared" si="0"/>
        <v>#DIV/0!</v>
      </c>
      <c r="N52" s="65"/>
      <c r="O52" s="69"/>
      <c r="P52" s="357"/>
      <c r="Q52" s="57">
        <f t="shared" si="4"/>
        <v>0</v>
      </c>
      <c r="R52" s="57"/>
      <c r="S52" s="57"/>
      <c r="T52" s="70"/>
      <c r="U52" s="869">
        <f t="shared" si="1"/>
        <v>0</v>
      </c>
      <c r="V52" s="70"/>
      <c r="W52" s="70"/>
    </row>
    <row r="53" spans="1:23" s="2" customFormat="1" ht="12.75" customHeight="1" hidden="1">
      <c r="A53" s="124"/>
      <c r="B53" s="530" t="s">
        <v>184</v>
      </c>
      <c r="C53" s="798"/>
      <c r="D53" s="398">
        <v>57000</v>
      </c>
      <c r="E53" s="404"/>
      <c r="F53" s="404"/>
      <c r="G53" s="398"/>
      <c r="H53" s="398"/>
      <c r="I53" s="398"/>
      <c r="J53" s="757">
        <v>0</v>
      </c>
      <c r="K53" s="757">
        <v>0</v>
      </c>
      <c r="L53" s="757"/>
      <c r="M53" s="801" t="e">
        <f t="shared" si="0"/>
        <v>#DIV/0!</v>
      </c>
      <c r="N53" s="65"/>
      <c r="O53" s="69"/>
      <c r="P53" s="357"/>
      <c r="Q53" s="57"/>
      <c r="R53" s="57"/>
      <c r="S53" s="57"/>
      <c r="T53" s="70"/>
      <c r="U53" s="869">
        <f t="shared" si="1"/>
        <v>0</v>
      </c>
      <c r="V53" s="70"/>
      <c r="W53" s="70"/>
    </row>
    <row r="54" spans="1:23" s="2" customFormat="1" ht="12.75" customHeight="1" hidden="1">
      <c r="A54" s="124"/>
      <c r="B54" s="530" t="s">
        <v>185</v>
      </c>
      <c r="C54" s="798"/>
      <c r="D54" s="398">
        <v>393700</v>
      </c>
      <c r="E54" s="404"/>
      <c r="F54" s="397">
        <v>130800</v>
      </c>
      <c r="G54" s="398"/>
      <c r="H54" s="398"/>
      <c r="I54" s="398"/>
      <c r="J54" s="757"/>
      <c r="K54" s="757"/>
      <c r="L54" s="757"/>
      <c r="M54" s="801" t="e">
        <f t="shared" si="0"/>
        <v>#DIV/0!</v>
      </c>
      <c r="N54" s="65"/>
      <c r="O54" s="69"/>
      <c r="P54" s="357"/>
      <c r="Q54" s="57"/>
      <c r="R54" s="57"/>
      <c r="S54" s="57"/>
      <c r="T54" s="70"/>
      <c r="U54" s="869">
        <f t="shared" si="1"/>
        <v>0</v>
      </c>
      <c r="V54" s="70"/>
      <c r="W54" s="70"/>
    </row>
    <row r="55" spans="1:23" s="2" customFormat="1" ht="12.75" customHeight="1" hidden="1">
      <c r="A55" s="124"/>
      <c r="B55" s="530" t="s">
        <v>318</v>
      </c>
      <c r="C55" s="798">
        <v>30262</v>
      </c>
      <c r="D55" s="398"/>
      <c r="E55" s="404">
        <f>C55</f>
        <v>30262</v>
      </c>
      <c r="F55" s="404">
        <v>13469</v>
      </c>
      <c r="G55" s="398">
        <v>37644</v>
      </c>
      <c r="H55" s="398"/>
      <c r="I55" s="398"/>
      <c r="J55" s="757"/>
      <c r="K55" s="757"/>
      <c r="L55" s="757"/>
      <c r="M55" s="801" t="e">
        <f t="shared" si="0"/>
        <v>#DIV/0!</v>
      </c>
      <c r="N55" s="65"/>
      <c r="O55" s="69"/>
      <c r="P55" s="357"/>
      <c r="Q55" s="57"/>
      <c r="R55" s="57"/>
      <c r="S55" s="57"/>
      <c r="T55" s="70"/>
      <c r="U55" s="869">
        <f t="shared" si="1"/>
        <v>0</v>
      </c>
      <c r="V55" s="70"/>
      <c r="W55" s="70"/>
    </row>
    <row r="56" spans="1:23" s="2" customFormat="1" ht="12.75" customHeight="1" hidden="1">
      <c r="A56" s="124"/>
      <c r="B56" s="530" t="s">
        <v>189</v>
      </c>
      <c r="C56" s="799">
        <v>162594</v>
      </c>
      <c r="D56" s="398"/>
      <c r="E56" s="404">
        <f>C56</f>
        <v>162594</v>
      </c>
      <c r="F56" s="404">
        <v>158546</v>
      </c>
      <c r="G56" s="398">
        <v>677600</v>
      </c>
      <c r="H56" s="398"/>
      <c r="I56" s="398"/>
      <c r="J56" s="757"/>
      <c r="K56" s="757"/>
      <c r="L56" s="757"/>
      <c r="M56" s="801" t="e">
        <f t="shared" si="0"/>
        <v>#DIV/0!</v>
      </c>
      <c r="N56" s="65"/>
      <c r="O56" s="69"/>
      <c r="P56" s="357"/>
      <c r="Q56" s="57"/>
      <c r="R56" s="57"/>
      <c r="S56" s="57"/>
      <c r="T56" s="70"/>
      <c r="U56" s="869">
        <f t="shared" si="1"/>
        <v>0</v>
      </c>
      <c r="V56" s="70"/>
      <c r="W56" s="70"/>
    </row>
    <row r="57" spans="1:23" s="2" customFormat="1" ht="12.75" customHeight="1">
      <c r="A57" s="124"/>
      <c r="B57" s="837" t="s">
        <v>362</v>
      </c>
      <c r="C57" s="838"/>
      <c r="D57" s="839"/>
      <c r="E57" s="840"/>
      <c r="F57" s="840"/>
      <c r="G57" s="839"/>
      <c r="H57" s="839"/>
      <c r="I57" s="839"/>
      <c r="J57" s="841">
        <v>50000</v>
      </c>
      <c r="K57" s="841">
        <v>50000</v>
      </c>
      <c r="L57" s="835">
        <v>50000</v>
      </c>
      <c r="M57" s="836">
        <f t="shared" si="0"/>
        <v>1</v>
      </c>
      <c r="N57" s="65"/>
      <c r="O57" s="69"/>
      <c r="P57" s="688"/>
      <c r="Q57" s="57">
        <f>J57</f>
        <v>50000</v>
      </c>
      <c r="R57" s="57"/>
      <c r="S57" s="57"/>
      <c r="T57" s="70"/>
      <c r="U57" s="869">
        <f t="shared" si="1"/>
        <v>50000</v>
      </c>
      <c r="V57" s="70"/>
      <c r="W57" s="70"/>
    </row>
    <row r="58" spans="1:23" s="2" customFormat="1" ht="12.75" customHeight="1">
      <c r="A58" s="124"/>
      <c r="B58" s="837" t="s">
        <v>363</v>
      </c>
      <c r="C58" s="838"/>
      <c r="D58" s="839"/>
      <c r="E58" s="840"/>
      <c r="F58" s="840"/>
      <c r="G58" s="839"/>
      <c r="H58" s="839"/>
      <c r="I58" s="839"/>
      <c r="J58" s="841">
        <v>50000</v>
      </c>
      <c r="K58" s="841">
        <v>50000</v>
      </c>
      <c r="L58" s="835"/>
      <c r="M58" s="836">
        <f t="shared" si="0"/>
        <v>0</v>
      </c>
      <c r="N58" s="65"/>
      <c r="O58" s="69"/>
      <c r="P58" s="688"/>
      <c r="Q58" s="57">
        <f>J58</f>
        <v>50000</v>
      </c>
      <c r="R58" s="57"/>
      <c r="S58" s="57"/>
      <c r="T58" s="70"/>
      <c r="U58" s="869">
        <f t="shared" si="1"/>
        <v>0</v>
      </c>
      <c r="V58" s="70"/>
      <c r="W58" s="70"/>
    </row>
    <row r="59" spans="1:23" s="2" customFormat="1" ht="12.75" customHeight="1">
      <c r="A59" s="124"/>
      <c r="B59" s="748" t="s">
        <v>434</v>
      </c>
      <c r="C59" s="690"/>
      <c r="D59" s="692"/>
      <c r="E59" s="693"/>
      <c r="F59" s="693"/>
      <c r="G59" s="692"/>
      <c r="H59" s="692"/>
      <c r="I59" s="692"/>
      <c r="J59" s="760"/>
      <c r="K59" s="796">
        <v>180000</v>
      </c>
      <c r="L59" s="757">
        <f>229738-L60</f>
        <v>180538</v>
      </c>
      <c r="M59" s="801">
        <f t="shared" si="0"/>
        <v>1.002988888888889</v>
      </c>
      <c r="N59" s="65"/>
      <c r="O59" s="69"/>
      <c r="P59" s="688"/>
      <c r="Q59" s="57"/>
      <c r="R59" s="57"/>
      <c r="S59" s="57"/>
      <c r="T59" s="70"/>
      <c r="U59" s="869"/>
      <c r="V59" s="70"/>
      <c r="W59" s="70"/>
    </row>
    <row r="60" spans="1:23" s="2" customFormat="1" ht="12.75" customHeight="1">
      <c r="A60" s="124"/>
      <c r="B60" s="748" t="s">
        <v>435</v>
      </c>
      <c r="C60" s="690"/>
      <c r="D60" s="692"/>
      <c r="E60" s="693"/>
      <c r="F60" s="693"/>
      <c r="G60" s="692"/>
      <c r="H60" s="692"/>
      <c r="I60" s="692"/>
      <c r="J60" s="760"/>
      <c r="K60" s="796">
        <v>50000</v>
      </c>
      <c r="L60" s="773">
        <v>49200</v>
      </c>
      <c r="M60" s="801">
        <f t="shared" si="0"/>
        <v>0.984</v>
      </c>
      <c r="N60" s="65"/>
      <c r="O60" s="69"/>
      <c r="P60" s="688"/>
      <c r="Q60" s="57"/>
      <c r="R60" s="57"/>
      <c r="S60" s="57"/>
      <c r="T60" s="70"/>
      <c r="U60" s="869">
        <f t="shared" si="1"/>
        <v>49200</v>
      </c>
      <c r="V60" s="70"/>
      <c r="W60" s="70"/>
    </row>
    <row r="61" spans="1:23" s="2" customFormat="1" ht="12.75" customHeight="1">
      <c r="A61" s="124"/>
      <c r="B61" s="748" t="s">
        <v>438</v>
      </c>
      <c r="C61" s="690"/>
      <c r="D61" s="692"/>
      <c r="E61" s="693"/>
      <c r="F61" s="693"/>
      <c r="G61" s="692"/>
      <c r="H61" s="692"/>
      <c r="I61" s="692"/>
      <c r="J61" s="760"/>
      <c r="K61" s="796"/>
      <c r="L61" s="773">
        <v>99500</v>
      </c>
      <c r="M61" s="801"/>
      <c r="N61" s="65"/>
      <c r="O61" s="69"/>
      <c r="P61" s="688"/>
      <c r="Q61" s="57"/>
      <c r="R61" s="57"/>
      <c r="S61" s="57"/>
      <c r="T61" s="70"/>
      <c r="U61" s="869"/>
      <c r="V61" s="70"/>
      <c r="W61" s="70"/>
    </row>
    <row r="62" spans="1:23" s="2" customFormat="1" ht="12.75" customHeight="1" thickBot="1">
      <c r="A62" s="124"/>
      <c r="B62" s="536" t="s">
        <v>157</v>
      </c>
      <c r="C62" s="432">
        <v>727935</v>
      </c>
      <c r="D62" s="408">
        <v>710944</v>
      </c>
      <c r="E62" s="407">
        <f>C62</f>
        <v>727935</v>
      </c>
      <c r="F62" s="407">
        <v>680479</v>
      </c>
      <c r="G62" s="408">
        <v>749468</v>
      </c>
      <c r="H62" s="408">
        <v>293555</v>
      </c>
      <c r="I62" s="408">
        <v>342069</v>
      </c>
      <c r="J62" s="761">
        <f>830651-J132-46000</f>
        <v>759885</v>
      </c>
      <c r="K62" s="761">
        <v>759885</v>
      </c>
      <c r="L62" s="761">
        <v>369363</v>
      </c>
      <c r="M62" s="801">
        <f t="shared" si="0"/>
        <v>0.4860774985688624</v>
      </c>
      <c r="N62" s="81"/>
      <c r="O62" s="69"/>
      <c r="P62" s="359"/>
      <c r="Q62" s="57"/>
      <c r="R62" s="57"/>
      <c r="S62" s="57"/>
      <c r="T62" s="70"/>
      <c r="U62" s="869">
        <f>SUM(U12:U60)</f>
        <v>2737269</v>
      </c>
      <c r="V62" s="70"/>
      <c r="W62" s="70"/>
    </row>
    <row r="63" spans="1:21" s="11" customFormat="1" ht="15" thickBot="1">
      <c r="A63" s="124"/>
      <c r="B63" s="434" t="s">
        <v>2</v>
      </c>
      <c r="C63" s="433">
        <f aca="true" t="shared" si="5" ref="C63:J63">SUM(C7:C62)</f>
        <v>12493975</v>
      </c>
      <c r="D63" s="360">
        <f t="shared" si="5"/>
        <v>12469547</v>
      </c>
      <c r="E63" s="44">
        <f t="shared" si="5"/>
        <v>12888766</v>
      </c>
      <c r="F63" s="44">
        <f t="shared" si="5"/>
        <v>12963019</v>
      </c>
      <c r="G63" s="360">
        <f t="shared" si="5"/>
        <v>13719257</v>
      </c>
      <c r="H63" s="360">
        <f t="shared" si="5"/>
        <v>5235784</v>
      </c>
      <c r="I63" s="360">
        <f t="shared" si="5"/>
        <v>6245701</v>
      </c>
      <c r="J63" s="762">
        <f t="shared" si="5"/>
        <v>14081624</v>
      </c>
      <c r="K63" s="762">
        <f>SUM(K7:K62)</f>
        <v>15211624</v>
      </c>
      <c r="L63" s="762">
        <f>SUM(L7:L62)</f>
        <v>7201897</v>
      </c>
      <c r="M63" s="762"/>
      <c r="N63" s="82"/>
      <c r="O63" s="83"/>
      <c r="P63" s="124"/>
      <c r="Q63" s="695">
        <f>SUM(Q12:Q62)</f>
        <v>2978500</v>
      </c>
      <c r="R63" s="7"/>
      <c r="S63" s="695">
        <f>SUM(S12:S62)</f>
        <v>471500</v>
      </c>
      <c r="U63" s="869"/>
    </row>
    <row r="64" spans="1:22" ht="15.75" thickBot="1">
      <c r="A64" s="347"/>
      <c r="B64" s="361"/>
      <c r="C64" s="13"/>
      <c r="D64" s="362"/>
      <c r="E64" s="22"/>
      <c r="F64" s="22"/>
      <c r="G64" s="362"/>
      <c r="H64" s="362"/>
      <c r="I64" s="362"/>
      <c r="J64" s="619"/>
      <c r="K64" s="763"/>
      <c r="L64" s="764"/>
      <c r="M64" s="868">
        <f>L63-7201897</f>
        <v>0</v>
      </c>
      <c r="N64" s="65"/>
      <c r="O64" s="33"/>
      <c r="Q64" s="7"/>
      <c r="R64" s="7"/>
      <c r="S64" s="7"/>
      <c r="T64" s="10"/>
      <c r="U64" s="10"/>
      <c r="V64" s="10"/>
    </row>
    <row r="65" spans="2:22" ht="15.75" thickBot="1">
      <c r="B65" s="363" t="s">
        <v>3</v>
      </c>
      <c r="C65" s="14"/>
      <c r="D65" s="362"/>
      <c r="E65" s="22"/>
      <c r="F65" s="22"/>
      <c r="G65" s="362"/>
      <c r="H65" s="362"/>
      <c r="I65" s="362"/>
      <c r="J65" s="619"/>
      <c r="K65" s="13"/>
      <c r="L65" s="764"/>
      <c r="M65" s="765"/>
      <c r="N65" s="65"/>
      <c r="O65" s="33"/>
      <c r="Q65" s="7"/>
      <c r="R65" s="7"/>
      <c r="S65" s="7"/>
      <c r="T65" s="10"/>
      <c r="U65" s="5"/>
      <c r="V65" s="10"/>
    </row>
    <row r="66" spans="1:22" s="2" customFormat="1" ht="12.75" customHeight="1">
      <c r="A66" s="124"/>
      <c r="B66" s="525" t="s">
        <v>11</v>
      </c>
      <c r="C66" s="444">
        <v>2500000</v>
      </c>
      <c r="D66" s="437">
        <v>2882256</v>
      </c>
      <c r="E66" s="436">
        <f>C66</f>
        <v>2500000</v>
      </c>
      <c r="F66" s="436">
        <v>2548002</v>
      </c>
      <c r="G66" s="437">
        <v>2680000</v>
      </c>
      <c r="H66" s="437">
        <v>1524300</v>
      </c>
      <c r="I66" s="437">
        <v>1695100</v>
      </c>
      <c r="J66" s="766">
        <v>2948000</v>
      </c>
      <c r="K66" s="766">
        <v>2948000</v>
      </c>
      <c r="L66" s="766">
        <v>1682120</v>
      </c>
      <c r="M66" s="806">
        <f>L66/K66</f>
        <v>0.5705970149253732</v>
      </c>
      <c r="N66" s="65"/>
      <c r="O66" s="69"/>
      <c r="P66" s="356"/>
      <c r="Q66" s="57"/>
      <c r="R66" s="16"/>
      <c r="S66" s="57"/>
      <c r="T66" s="69"/>
      <c r="U66" s="69"/>
      <c r="V66" s="69"/>
    </row>
    <row r="67" spans="1:22" s="2" customFormat="1" ht="12.75" customHeight="1" hidden="1">
      <c r="A67" s="124"/>
      <c r="B67" s="526" t="s">
        <v>227</v>
      </c>
      <c r="C67" s="426"/>
      <c r="D67" s="411"/>
      <c r="E67" s="496"/>
      <c r="F67" s="496"/>
      <c r="G67" s="411"/>
      <c r="H67" s="411"/>
      <c r="I67" s="411"/>
      <c r="J67" s="754"/>
      <c r="K67" s="754"/>
      <c r="L67" s="754"/>
      <c r="M67" s="754"/>
      <c r="N67" s="65"/>
      <c r="O67" s="69"/>
      <c r="P67" s="414"/>
      <c r="Q67" s="57"/>
      <c r="R67" s="16"/>
      <c r="S67" s="57"/>
      <c r="T67" s="69"/>
      <c r="U67" s="69"/>
      <c r="V67" s="69"/>
    </row>
    <row r="68" spans="1:22" s="2" customFormat="1" ht="12.75" customHeight="1" hidden="1">
      <c r="A68" s="124"/>
      <c r="B68" s="527" t="s">
        <v>190</v>
      </c>
      <c r="C68" s="427">
        <v>162594</v>
      </c>
      <c r="D68" s="398"/>
      <c r="E68" s="439">
        <f>C68</f>
        <v>162594</v>
      </c>
      <c r="F68" s="439">
        <v>158546</v>
      </c>
      <c r="G68" s="398">
        <v>677600</v>
      </c>
      <c r="H68" s="398"/>
      <c r="I68" s="406"/>
      <c r="J68" s="757">
        <v>0</v>
      </c>
      <c r="K68" s="757">
        <v>0</v>
      </c>
      <c r="L68" s="757"/>
      <c r="M68" s="757"/>
      <c r="N68" s="65"/>
      <c r="O68" s="69"/>
      <c r="P68" s="357"/>
      <c r="Q68" s="57"/>
      <c r="R68" s="16"/>
      <c r="S68" s="57"/>
      <c r="T68" s="69"/>
      <c r="U68" s="69"/>
      <c r="V68" s="69"/>
    </row>
    <row r="69" spans="1:22" s="2" customFormat="1" ht="12.75" customHeight="1" hidden="1">
      <c r="A69" s="124"/>
      <c r="B69" s="527" t="s">
        <v>192</v>
      </c>
      <c r="C69" s="430">
        <v>30262</v>
      </c>
      <c r="D69" s="398"/>
      <c r="E69" s="439">
        <f>C69</f>
        <v>30262</v>
      </c>
      <c r="F69" s="439">
        <v>0</v>
      </c>
      <c r="G69" s="398">
        <v>37644</v>
      </c>
      <c r="H69" s="398"/>
      <c r="I69" s="406"/>
      <c r="J69" s="757">
        <v>0</v>
      </c>
      <c r="K69" s="757">
        <v>0</v>
      </c>
      <c r="L69" s="757"/>
      <c r="M69" s="757"/>
      <c r="N69" s="65"/>
      <c r="O69" s="69"/>
      <c r="P69" s="357"/>
      <c r="Q69" s="57"/>
      <c r="R69" s="16"/>
      <c r="S69" s="57"/>
      <c r="T69" s="69"/>
      <c r="U69" s="69"/>
      <c r="V69" s="69"/>
    </row>
    <row r="70" spans="1:22" s="2" customFormat="1" ht="12.75" customHeight="1">
      <c r="A70" s="124"/>
      <c r="B70" s="527" t="s">
        <v>12</v>
      </c>
      <c r="C70" s="427">
        <v>20000</v>
      </c>
      <c r="D70" s="398">
        <v>2635</v>
      </c>
      <c r="E70" s="439">
        <f>C70</f>
        <v>20000</v>
      </c>
      <c r="F70" s="439">
        <v>18863</v>
      </c>
      <c r="G70" s="398">
        <v>21000</v>
      </c>
      <c r="H70" s="398">
        <v>16</v>
      </c>
      <c r="I70" s="398"/>
      <c r="J70" s="757">
        <v>23100</v>
      </c>
      <c r="K70" s="757">
        <v>23100</v>
      </c>
      <c r="L70" s="757">
        <v>73</v>
      </c>
      <c r="M70" s="801">
        <f>L70/K70</f>
        <v>0.0031601731601731604</v>
      </c>
      <c r="N70" s="65"/>
      <c r="O70" s="69"/>
      <c r="P70" s="357"/>
      <c r="Q70" s="57"/>
      <c r="R70" s="16" t="s">
        <v>263</v>
      </c>
      <c r="S70" s="57"/>
      <c r="T70" s="69"/>
      <c r="U70" s="69"/>
      <c r="V70" s="69"/>
    </row>
    <row r="71" spans="1:22" s="2" customFormat="1" ht="12.75" customHeight="1">
      <c r="A71" s="124"/>
      <c r="B71" s="541" t="s">
        <v>4</v>
      </c>
      <c r="C71" s="542">
        <v>7365189</v>
      </c>
      <c r="D71" s="543">
        <v>6381243</v>
      </c>
      <c r="E71" s="544">
        <v>7425365</v>
      </c>
      <c r="F71" s="544">
        <v>7425365</v>
      </c>
      <c r="G71" s="543">
        <v>7742513</v>
      </c>
      <c r="H71" s="543">
        <v>3185395</v>
      </c>
      <c r="I71" s="543">
        <v>3822474</v>
      </c>
      <c r="J71" s="767">
        <v>8750524</v>
      </c>
      <c r="K71" s="767">
        <f>8750524+650000</f>
        <v>9400524</v>
      </c>
      <c r="L71" s="767">
        <f>4280319-L110</f>
        <v>4270319</v>
      </c>
      <c r="M71" s="807">
        <f>L71/K71</f>
        <v>0.4542639325212084</v>
      </c>
      <c r="N71" s="65"/>
      <c r="O71" s="69"/>
      <c r="P71" s="357"/>
      <c r="Q71" s="57"/>
      <c r="R71" s="16"/>
      <c r="S71" s="57"/>
      <c r="T71" s="69"/>
      <c r="U71" s="69"/>
      <c r="V71" s="5"/>
    </row>
    <row r="72" spans="1:22" s="2" customFormat="1" ht="12.75" customHeight="1">
      <c r="A72" s="124"/>
      <c r="B72" s="580" t="s">
        <v>266</v>
      </c>
      <c r="C72" s="581">
        <v>950000</v>
      </c>
      <c r="D72" s="582">
        <v>950000</v>
      </c>
      <c r="E72" s="583">
        <f>C72</f>
        <v>950000</v>
      </c>
      <c r="F72" s="583">
        <v>950000</v>
      </c>
      <c r="G72" s="582">
        <v>950000</v>
      </c>
      <c r="H72" s="582">
        <v>0</v>
      </c>
      <c r="I72" s="582"/>
      <c r="J72" s="768">
        <f>950000+140000</f>
        <v>1090000</v>
      </c>
      <c r="K72" s="768">
        <f>950000+140000</f>
        <v>1090000</v>
      </c>
      <c r="L72" s="768">
        <v>90000</v>
      </c>
      <c r="M72" s="808">
        <f aca="true" t="shared" si="6" ref="M72:M114">L72/K72</f>
        <v>0.08256880733944955</v>
      </c>
      <c r="N72" s="65"/>
      <c r="O72" s="69"/>
      <c r="P72" s="357"/>
      <c r="Q72" s="57"/>
      <c r="R72" s="16">
        <f>J72</f>
        <v>1090000</v>
      </c>
      <c r="S72" s="57"/>
      <c r="T72" s="69"/>
      <c r="U72" s="69"/>
      <c r="V72" s="69"/>
    </row>
    <row r="73" spans="1:22" s="2" customFormat="1" ht="12.75" customHeight="1" hidden="1">
      <c r="A73" s="124"/>
      <c r="B73" s="579" t="s">
        <v>311</v>
      </c>
      <c r="C73" s="576"/>
      <c r="D73" s="620"/>
      <c r="E73" s="578">
        <v>130000</v>
      </c>
      <c r="F73" s="578">
        <v>130000</v>
      </c>
      <c r="G73" s="620"/>
      <c r="H73" s="620"/>
      <c r="I73" s="620"/>
      <c r="J73" s="769"/>
      <c r="K73" s="769"/>
      <c r="L73" s="769"/>
      <c r="M73" s="808" t="e">
        <f t="shared" si="6"/>
        <v>#DIV/0!</v>
      </c>
      <c r="N73" s="65"/>
      <c r="O73" s="69"/>
      <c r="P73" s="357"/>
      <c r="Q73" s="57"/>
      <c r="S73" s="57"/>
      <c r="T73" s="69"/>
      <c r="U73" s="69"/>
      <c r="V73" s="69"/>
    </row>
    <row r="74" spans="1:22" s="2" customFormat="1" ht="12.75" customHeight="1" hidden="1">
      <c r="A74" s="124"/>
      <c r="B74" s="579" t="s">
        <v>309</v>
      </c>
      <c r="C74" s="576"/>
      <c r="D74" s="620"/>
      <c r="E74" s="578">
        <v>30000</v>
      </c>
      <c r="F74" s="578">
        <v>30000</v>
      </c>
      <c r="G74" s="620">
        <v>50000</v>
      </c>
      <c r="H74" s="620">
        <v>50000</v>
      </c>
      <c r="I74" s="620"/>
      <c r="J74" s="769"/>
      <c r="K74" s="769"/>
      <c r="L74" s="769"/>
      <c r="M74" s="808" t="e">
        <f t="shared" si="6"/>
        <v>#DIV/0!</v>
      </c>
      <c r="N74" s="65"/>
      <c r="O74" s="69"/>
      <c r="P74" s="357"/>
      <c r="Q74" s="57"/>
      <c r="R74" s="16"/>
      <c r="S74" s="57"/>
      <c r="T74" s="69"/>
      <c r="U74" s="69"/>
      <c r="V74" s="69"/>
    </row>
    <row r="75" spans="1:22" s="2" customFormat="1" ht="12.75" customHeight="1" hidden="1">
      <c r="A75" s="124"/>
      <c r="B75" s="579" t="s">
        <v>360</v>
      </c>
      <c r="C75" s="576"/>
      <c r="D75" s="620"/>
      <c r="E75" s="578"/>
      <c r="F75" s="578"/>
      <c r="G75" s="620"/>
      <c r="H75" s="620"/>
      <c r="I75" s="620">
        <v>50000</v>
      </c>
      <c r="J75" s="769"/>
      <c r="K75" s="769"/>
      <c r="L75" s="769"/>
      <c r="M75" s="808" t="e">
        <f t="shared" si="6"/>
        <v>#DIV/0!</v>
      </c>
      <c r="N75" s="65"/>
      <c r="O75" s="69"/>
      <c r="P75" s="357"/>
      <c r="Q75" s="57"/>
      <c r="R75" s="16"/>
      <c r="S75" s="57"/>
      <c r="T75" s="69"/>
      <c r="U75" s="69"/>
      <c r="V75" s="69"/>
    </row>
    <row r="76" spans="1:22" s="2" customFormat="1" ht="12.75" customHeight="1">
      <c r="A76" s="124"/>
      <c r="B76" s="850" t="s">
        <v>423</v>
      </c>
      <c r="C76" s="576"/>
      <c r="D76" s="854"/>
      <c r="E76" s="855"/>
      <c r="F76" s="855"/>
      <c r="G76" s="854"/>
      <c r="H76" s="854"/>
      <c r="I76" s="854"/>
      <c r="J76" s="856"/>
      <c r="K76" s="856">
        <v>200000</v>
      </c>
      <c r="L76" s="769">
        <v>200000</v>
      </c>
      <c r="M76" s="862"/>
      <c r="N76" s="65"/>
      <c r="O76" s="69"/>
      <c r="P76" s="357"/>
      <c r="Q76" s="57"/>
      <c r="R76" s="16"/>
      <c r="S76" s="57"/>
      <c r="T76" s="69"/>
      <c r="U76" s="69"/>
      <c r="V76" s="69"/>
    </row>
    <row r="77" spans="1:22" s="2" customFormat="1" ht="12.75" customHeight="1">
      <c r="A77" s="124"/>
      <c r="B77" s="850" t="s">
        <v>425</v>
      </c>
      <c r="C77" s="429"/>
      <c r="D77" s="851"/>
      <c r="E77" s="852"/>
      <c r="F77" s="852"/>
      <c r="G77" s="851"/>
      <c r="H77" s="851"/>
      <c r="I77" s="851"/>
      <c r="J77" s="853"/>
      <c r="K77" s="853">
        <v>50000</v>
      </c>
      <c r="L77" s="769">
        <v>50000</v>
      </c>
      <c r="M77" s="862"/>
      <c r="N77" s="65"/>
      <c r="O77" s="69"/>
      <c r="P77" s="357"/>
      <c r="Q77" s="57"/>
      <c r="R77" s="16"/>
      <c r="S77" s="57"/>
      <c r="T77" s="69"/>
      <c r="U77" s="69"/>
      <c r="V77" s="69"/>
    </row>
    <row r="78" spans="1:22" s="2" customFormat="1" ht="12.75" customHeight="1">
      <c r="A78" s="124"/>
      <c r="B78" s="584" t="s">
        <v>324</v>
      </c>
      <c r="C78" s="581"/>
      <c r="D78" s="582"/>
      <c r="E78" s="583"/>
      <c r="F78" s="583"/>
      <c r="G78" s="582">
        <v>50000</v>
      </c>
      <c r="H78" s="582"/>
      <c r="I78" s="582">
        <v>9000</v>
      </c>
      <c r="J78" s="768">
        <v>50000</v>
      </c>
      <c r="K78" s="768">
        <v>50000</v>
      </c>
      <c r="L78" s="768">
        <v>0</v>
      </c>
      <c r="M78" s="808">
        <f t="shared" si="6"/>
        <v>0</v>
      </c>
      <c r="N78" s="65"/>
      <c r="O78" s="69"/>
      <c r="P78" s="357"/>
      <c r="Q78" s="57"/>
      <c r="R78" s="16">
        <f>J78</f>
        <v>50000</v>
      </c>
      <c r="S78" s="57"/>
      <c r="T78" s="69"/>
      <c r="U78" s="69"/>
      <c r="V78" s="69"/>
    </row>
    <row r="79" spans="1:22" s="2" customFormat="1" ht="12.75" customHeight="1" hidden="1">
      <c r="A79" s="124"/>
      <c r="B79" s="585" t="s">
        <v>267</v>
      </c>
      <c r="C79" s="586">
        <v>402930</v>
      </c>
      <c r="D79" s="565">
        <v>340000</v>
      </c>
      <c r="E79" s="566">
        <v>510154</v>
      </c>
      <c r="F79" s="566">
        <v>510154</v>
      </c>
      <c r="G79" s="399"/>
      <c r="H79" s="399"/>
      <c r="I79" s="622"/>
      <c r="J79" s="770">
        <v>0</v>
      </c>
      <c r="K79" s="770">
        <v>0</v>
      </c>
      <c r="L79" s="770"/>
      <c r="M79" s="808" t="e">
        <f t="shared" si="6"/>
        <v>#DIV/0!</v>
      </c>
      <c r="N79" s="65"/>
      <c r="O79" s="69"/>
      <c r="P79" s="357"/>
      <c r="Q79" s="57"/>
      <c r="R79" s="16"/>
      <c r="S79" s="57"/>
      <c r="T79" s="69"/>
      <c r="U79" s="69"/>
      <c r="V79" s="69"/>
    </row>
    <row r="80" spans="1:22" s="2" customFormat="1" ht="12.75" customHeight="1" hidden="1">
      <c r="A80" s="124"/>
      <c r="B80" s="585" t="s">
        <v>296</v>
      </c>
      <c r="C80" s="586"/>
      <c r="D80" s="565">
        <v>55000</v>
      </c>
      <c r="E80" s="439"/>
      <c r="F80" s="439"/>
      <c r="G80" s="399"/>
      <c r="H80" s="399"/>
      <c r="I80" s="399"/>
      <c r="J80" s="770"/>
      <c r="K80" s="770"/>
      <c r="L80" s="770"/>
      <c r="M80" s="808" t="e">
        <f t="shared" si="6"/>
        <v>#DIV/0!</v>
      </c>
      <c r="N80" s="65"/>
      <c r="O80" s="69"/>
      <c r="P80" s="357"/>
      <c r="Q80" s="57"/>
      <c r="R80" s="16"/>
      <c r="S80" s="57"/>
      <c r="T80" s="69"/>
      <c r="U80" s="69"/>
      <c r="V80" s="69"/>
    </row>
    <row r="81" spans="1:19" s="2" customFormat="1" ht="12.75" customHeight="1">
      <c r="A81" s="124"/>
      <c r="B81" s="588" t="s">
        <v>325</v>
      </c>
      <c r="C81" s="567">
        <v>30000</v>
      </c>
      <c r="D81" s="565">
        <v>42000</v>
      </c>
      <c r="E81" s="566">
        <f>C81</f>
        <v>30000</v>
      </c>
      <c r="F81" s="566">
        <v>30000</v>
      </c>
      <c r="G81" s="565">
        <v>30000</v>
      </c>
      <c r="H81" s="565"/>
      <c r="I81" s="565"/>
      <c r="J81" s="771">
        <v>30000</v>
      </c>
      <c r="K81" s="771">
        <v>30000</v>
      </c>
      <c r="L81" s="771">
        <v>0</v>
      </c>
      <c r="M81" s="808">
        <f t="shared" si="6"/>
        <v>0</v>
      </c>
      <c r="N81" s="65"/>
      <c r="O81" s="69"/>
      <c r="P81" s="357"/>
      <c r="Q81" s="57"/>
      <c r="R81" s="16">
        <f aca="true" t="shared" si="7" ref="R81:R112">J81</f>
        <v>30000</v>
      </c>
      <c r="S81" s="57"/>
    </row>
    <row r="82" spans="1:19" s="2" customFormat="1" ht="12.75" customHeight="1" hidden="1">
      <c r="A82" s="124"/>
      <c r="B82" s="588" t="s">
        <v>295</v>
      </c>
      <c r="C82" s="567"/>
      <c r="D82" s="565">
        <v>30000</v>
      </c>
      <c r="E82" s="439"/>
      <c r="F82" s="439"/>
      <c r="G82" s="399"/>
      <c r="H82" s="399"/>
      <c r="I82" s="399"/>
      <c r="J82" s="770"/>
      <c r="K82" s="770"/>
      <c r="L82" s="770"/>
      <c r="M82" s="808" t="e">
        <f t="shared" si="6"/>
        <v>#DIV/0!</v>
      </c>
      <c r="N82" s="65"/>
      <c r="O82" s="69"/>
      <c r="P82" s="357"/>
      <c r="Q82" s="57"/>
      <c r="R82" s="16"/>
      <c r="S82" s="57"/>
    </row>
    <row r="83" spans="1:19" s="2" customFormat="1" ht="12.75" customHeight="1">
      <c r="A83" s="124"/>
      <c r="B83" s="589" t="s">
        <v>351</v>
      </c>
      <c r="C83" s="586">
        <v>40000</v>
      </c>
      <c r="D83" s="565">
        <v>40000</v>
      </c>
      <c r="E83" s="566">
        <f>C83</f>
        <v>40000</v>
      </c>
      <c r="F83" s="566">
        <v>40000</v>
      </c>
      <c r="G83" s="565">
        <v>60000</v>
      </c>
      <c r="H83" s="565"/>
      <c r="I83" s="565">
        <v>12000</v>
      </c>
      <c r="J83" s="771">
        <f>60000-30000</f>
        <v>30000</v>
      </c>
      <c r="K83" s="771">
        <f>60000-30000</f>
        <v>30000</v>
      </c>
      <c r="L83" s="771">
        <v>0</v>
      </c>
      <c r="M83" s="808">
        <f t="shared" si="6"/>
        <v>0</v>
      </c>
      <c r="N83" s="65"/>
      <c r="O83" s="69"/>
      <c r="P83" s="357"/>
      <c r="Q83" s="57"/>
      <c r="R83" s="16">
        <f t="shared" si="7"/>
        <v>30000</v>
      </c>
      <c r="S83" s="57"/>
    </row>
    <row r="84" spans="1:19" s="2" customFormat="1" ht="12.75" customHeight="1">
      <c r="A84" s="124"/>
      <c r="B84" s="590" t="s">
        <v>265</v>
      </c>
      <c r="C84" s="586">
        <v>40000</v>
      </c>
      <c r="D84" s="565">
        <v>40000</v>
      </c>
      <c r="E84" s="566">
        <v>10155</v>
      </c>
      <c r="F84" s="566">
        <v>10155</v>
      </c>
      <c r="G84" s="565">
        <v>25000</v>
      </c>
      <c r="H84" s="565"/>
      <c r="I84" s="565"/>
      <c r="J84" s="771">
        <v>10000</v>
      </c>
      <c r="K84" s="771">
        <v>10000</v>
      </c>
      <c r="L84" s="771">
        <v>10000</v>
      </c>
      <c r="M84" s="808">
        <f t="shared" si="6"/>
        <v>1</v>
      </c>
      <c r="N84" s="65"/>
      <c r="O84" s="69"/>
      <c r="P84" s="357"/>
      <c r="Q84" s="57"/>
      <c r="R84" s="16">
        <f t="shared" si="7"/>
        <v>10000</v>
      </c>
      <c r="S84" s="57"/>
    </row>
    <row r="85" spans="1:19" s="2" customFormat="1" ht="12.75" customHeight="1">
      <c r="A85" s="124"/>
      <c r="B85" s="590" t="s">
        <v>270</v>
      </c>
      <c r="C85" s="586">
        <v>120000</v>
      </c>
      <c r="D85" s="565">
        <v>135000</v>
      </c>
      <c r="E85" s="566">
        <v>114932</v>
      </c>
      <c r="F85" s="566">
        <v>114932</v>
      </c>
      <c r="G85" s="565">
        <v>130000</v>
      </c>
      <c r="H85" s="565"/>
      <c r="I85" s="565"/>
      <c r="J85" s="771">
        <v>130000</v>
      </c>
      <c r="K85" s="771">
        <v>130000</v>
      </c>
      <c r="L85" s="771">
        <v>0</v>
      </c>
      <c r="M85" s="808">
        <f t="shared" si="6"/>
        <v>0</v>
      </c>
      <c r="N85" s="65"/>
      <c r="O85" s="69"/>
      <c r="P85" s="357"/>
      <c r="Q85" s="57"/>
      <c r="R85" s="16">
        <f t="shared" si="7"/>
        <v>130000</v>
      </c>
      <c r="S85" s="57"/>
    </row>
    <row r="86" spans="1:19" s="2" customFormat="1" ht="12.75" customHeight="1">
      <c r="A86" s="124"/>
      <c r="B86" s="590" t="s">
        <v>271</v>
      </c>
      <c r="C86" s="586">
        <v>60000</v>
      </c>
      <c r="D86" s="565">
        <v>60000</v>
      </c>
      <c r="E86" s="566">
        <v>20796</v>
      </c>
      <c r="F86" s="566">
        <v>20796</v>
      </c>
      <c r="G86" s="565">
        <v>30000</v>
      </c>
      <c r="H86" s="565">
        <v>25000</v>
      </c>
      <c r="I86" s="565">
        <v>25000</v>
      </c>
      <c r="J86" s="771">
        <v>30000</v>
      </c>
      <c r="K86" s="771">
        <v>30000</v>
      </c>
      <c r="L86" s="771">
        <v>30000</v>
      </c>
      <c r="M86" s="808">
        <f t="shared" si="6"/>
        <v>1</v>
      </c>
      <c r="N86" s="65"/>
      <c r="O86" s="69"/>
      <c r="P86" s="357"/>
      <c r="Q86" s="57"/>
      <c r="R86" s="16">
        <f t="shared" si="7"/>
        <v>30000</v>
      </c>
      <c r="S86" s="57"/>
    </row>
    <row r="87" spans="1:19" s="2" customFormat="1" ht="12.75" customHeight="1" hidden="1">
      <c r="A87" s="124"/>
      <c r="B87" s="590" t="s">
        <v>297</v>
      </c>
      <c r="C87" s="586"/>
      <c r="D87" s="565">
        <v>20000</v>
      </c>
      <c r="E87" s="439"/>
      <c r="F87" s="439"/>
      <c r="G87" s="399"/>
      <c r="H87" s="399"/>
      <c r="I87" s="399"/>
      <c r="J87" s="770"/>
      <c r="K87" s="770"/>
      <c r="L87" s="770"/>
      <c r="M87" s="808" t="e">
        <f t="shared" si="6"/>
        <v>#DIV/0!</v>
      </c>
      <c r="N87" s="65"/>
      <c r="O87" s="69"/>
      <c r="P87" s="357"/>
      <c r="Q87" s="57"/>
      <c r="R87" s="16"/>
      <c r="S87" s="57"/>
    </row>
    <row r="88" spans="1:19" s="2" customFormat="1" ht="12.75" customHeight="1">
      <c r="A88" s="124"/>
      <c r="B88" s="590" t="s">
        <v>272</v>
      </c>
      <c r="C88" s="586">
        <v>15000</v>
      </c>
      <c r="D88" s="565">
        <v>15000</v>
      </c>
      <c r="E88" s="566">
        <v>14881</v>
      </c>
      <c r="F88" s="566">
        <v>14881</v>
      </c>
      <c r="G88" s="565">
        <v>15000</v>
      </c>
      <c r="H88" s="565"/>
      <c r="I88" s="565"/>
      <c r="J88" s="771">
        <v>15000</v>
      </c>
      <c r="K88" s="771">
        <v>15000</v>
      </c>
      <c r="L88" s="771">
        <v>0</v>
      </c>
      <c r="M88" s="808">
        <f t="shared" si="6"/>
        <v>0</v>
      </c>
      <c r="N88" s="65"/>
      <c r="O88" s="69"/>
      <c r="P88" s="357"/>
      <c r="Q88" s="57"/>
      <c r="R88" s="16">
        <f t="shared" si="7"/>
        <v>15000</v>
      </c>
      <c r="S88" s="57"/>
    </row>
    <row r="89" spans="1:19" s="2" customFormat="1" ht="12.75" customHeight="1" hidden="1">
      <c r="A89" s="124"/>
      <c r="B89" s="590" t="s">
        <v>273</v>
      </c>
      <c r="C89" s="586"/>
      <c r="D89" s="565">
        <v>45000</v>
      </c>
      <c r="E89" s="439"/>
      <c r="F89" s="439"/>
      <c r="G89" s="399"/>
      <c r="H89" s="399"/>
      <c r="I89" s="399"/>
      <c r="J89" s="770"/>
      <c r="K89" s="770"/>
      <c r="L89" s="770"/>
      <c r="M89" s="808" t="e">
        <f t="shared" si="6"/>
        <v>#DIV/0!</v>
      </c>
      <c r="N89" s="65"/>
      <c r="O89" s="69"/>
      <c r="P89" s="357"/>
      <c r="Q89" s="57"/>
      <c r="R89" s="16"/>
      <c r="S89" s="57"/>
    </row>
    <row r="90" spans="1:19" s="2" customFormat="1" ht="12.75" customHeight="1">
      <c r="A90" s="124"/>
      <c r="B90" s="590" t="s">
        <v>274</v>
      </c>
      <c r="C90" s="586">
        <v>50000</v>
      </c>
      <c r="D90" s="565">
        <v>20000</v>
      </c>
      <c r="E90" s="566">
        <v>7767</v>
      </c>
      <c r="F90" s="566">
        <v>7767</v>
      </c>
      <c r="G90" s="565">
        <v>20000</v>
      </c>
      <c r="H90" s="565"/>
      <c r="I90" s="565"/>
      <c r="J90" s="771">
        <v>20000</v>
      </c>
      <c r="K90" s="771">
        <v>20000</v>
      </c>
      <c r="L90" s="771">
        <v>20000</v>
      </c>
      <c r="M90" s="808">
        <f t="shared" si="6"/>
        <v>1</v>
      </c>
      <c r="N90" s="65"/>
      <c r="O90" s="69"/>
      <c r="P90" s="357"/>
      <c r="Q90" s="57"/>
      <c r="R90" s="16">
        <f t="shared" si="7"/>
        <v>20000</v>
      </c>
      <c r="S90" s="57"/>
    </row>
    <row r="91" spans="1:19" s="2" customFormat="1" ht="12.75" customHeight="1">
      <c r="A91" s="124"/>
      <c r="B91" s="590" t="s">
        <v>275</v>
      </c>
      <c r="C91" s="581">
        <v>30000</v>
      </c>
      <c r="D91" s="582">
        <v>30000</v>
      </c>
      <c r="E91" s="583">
        <f>C91</f>
        <v>30000</v>
      </c>
      <c r="F91" s="583">
        <v>30000</v>
      </c>
      <c r="G91" s="582">
        <v>20000</v>
      </c>
      <c r="H91" s="582">
        <v>10000</v>
      </c>
      <c r="I91" s="565">
        <v>10000</v>
      </c>
      <c r="J91" s="771">
        <v>20000</v>
      </c>
      <c r="K91" s="771">
        <v>20000</v>
      </c>
      <c r="L91" s="771">
        <v>20000</v>
      </c>
      <c r="M91" s="808">
        <f t="shared" si="6"/>
        <v>1</v>
      </c>
      <c r="N91" s="65"/>
      <c r="O91" s="69"/>
      <c r="P91" s="357"/>
      <c r="Q91" s="57"/>
      <c r="R91" s="16">
        <f t="shared" si="7"/>
        <v>20000</v>
      </c>
      <c r="S91" s="57"/>
    </row>
    <row r="92" spans="1:19" s="2" customFormat="1" ht="12.75" customHeight="1">
      <c r="A92" s="124"/>
      <c r="B92" s="590" t="s">
        <v>276</v>
      </c>
      <c r="C92" s="581">
        <v>80000</v>
      </c>
      <c r="D92" s="582">
        <v>75000</v>
      </c>
      <c r="E92" s="583">
        <v>184524</v>
      </c>
      <c r="F92" s="583">
        <v>184524</v>
      </c>
      <c r="G92" s="582">
        <v>280000</v>
      </c>
      <c r="H92" s="582">
        <v>140000</v>
      </c>
      <c r="I92" s="565">
        <v>280000</v>
      </c>
      <c r="J92" s="771">
        <v>180000</v>
      </c>
      <c r="K92" s="771">
        <v>180000</v>
      </c>
      <c r="L92" s="771">
        <v>180000</v>
      </c>
      <c r="M92" s="808">
        <f t="shared" si="6"/>
        <v>1</v>
      </c>
      <c r="N92" s="65"/>
      <c r="O92" s="69"/>
      <c r="P92" s="357"/>
      <c r="Q92" s="57"/>
      <c r="R92" s="16">
        <f t="shared" si="7"/>
        <v>180000</v>
      </c>
      <c r="S92" s="57"/>
    </row>
    <row r="93" spans="1:19" s="2" customFormat="1" ht="12.75" customHeight="1" hidden="1">
      <c r="A93" s="124"/>
      <c r="B93" s="579" t="s">
        <v>178</v>
      </c>
      <c r="C93" s="576"/>
      <c r="D93" s="620"/>
      <c r="E93" s="578">
        <v>50000</v>
      </c>
      <c r="F93" s="578">
        <v>50000</v>
      </c>
      <c r="G93" s="620"/>
      <c r="H93" s="620"/>
      <c r="I93" s="399"/>
      <c r="J93" s="770"/>
      <c r="K93" s="770"/>
      <c r="L93" s="770"/>
      <c r="M93" s="808" t="e">
        <f t="shared" si="6"/>
        <v>#DIV/0!</v>
      </c>
      <c r="N93" s="65"/>
      <c r="O93" s="69"/>
      <c r="P93" s="357"/>
      <c r="Q93" s="57"/>
      <c r="R93" s="16"/>
      <c r="S93" s="57"/>
    </row>
    <row r="94" spans="1:19" s="2" customFormat="1" ht="12.75" customHeight="1">
      <c r="A94" s="124"/>
      <c r="B94" s="584" t="s">
        <v>277</v>
      </c>
      <c r="C94" s="581">
        <v>50000</v>
      </c>
      <c r="D94" s="582"/>
      <c r="E94" s="583">
        <f>C94</f>
        <v>50000</v>
      </c>
      <c r="F94" s="583">
        <v>50000</v>
      </c>
      <c r="G94" s="582">
        <v>40500</v>
      </c>
      <c r="H94" s="582">
        <v>50000</v>
      </c>
      <c r="I94" s="565">
        <v>50000</v>
      </c>
      <c r="J94" s="771">
        <v>50000</v>
      </c>
      <c r="K94" s="771">
        <v>50000</v>
      </c>
      <c r="L94" s="771">
        <v>50000</v>
      </c>
      <c r="M94" s="808">
        <f t="shared" si="6"/>
        <v>1</v>
      </c>
      <c r="N94" s="65"/>
      <c r="O94" s="69"/>
      <c r="P94" s="357"/>
      <c r="Q94" s="57"/>
      <c r="R94" s="16">
        <f t="shared" si="7"/>
        <v>50000</v>
      </c>
      <c r="S94" s="57"/>
    </row>
    <row r="95" spans="1:19" s="2" customFormat="1" ht="12.75" customHeight="1">
      <c r="A95" s="124"/>
      <c r="B95" s="584" t="s">
        <v>278</v>
      </c>
      <c r="C95" s="581"/>
      <c r="D95" s="582"/>
      <c r="E95" s="583"/>
      <c r="F95" s="583"/>
      <c r="G95" s="582">
        <v>0</v>
      </c>
      <c r="H95" s="582">
        <v>50000</v>
      </c>
      <c r="I95" s="565">
        <v>50000</v>
      </c>
      <c r="J95" s="771">
        <v>30000</v>
      </c>
      <c r="K95" s="771">
        <v>30000</v>
      </c>
      <c r="L95" s="771">
        <v>30000</v>
      </c>
      <c r="M95" s="808">
        <f t="shared" si="6"/>
        <v>1</v>
      </c>
      <c r="N95" s="65"/>
      <c r="O95" s="69"/>
      <c r="P95" s="357"/>
      <c r="Q95" s="57"/>
      <c r="R95" s="16">
        <f t="shared" si="7"/>
        <v>30000</v>
      </c>
      <c r="S95" s="57"/>
    </row>
    <row r="96" spans="1:19" s="2" customFormat="1" ht="12.75" customHeight="1" hidden="1">
      <c r="A96" s="124"/>
      <c r="B96" s="584" t="s">
        <v>279</v>
      </c>
      <c r="C96" s="581">
        <v>20000</v>
      </c>
      <c r="D96" s="582">
        <v>20000</v>
      </c>
      <c r="E96" s="583">
        <f>C96</f>
        <v>20000</v>
      </c>
      <c r="F96" s="583">
        <v>20000</v>
      </c>
      <c r="G96" s="620"/>
      <c r="H96" s="620"/>
      <c r="I96" s="399"/>
      <c r="J96" s="770"/>
      <c r="K96" s="770"/>
      <c r="L96" s="770"/>
      <c r="M96" s="808" t="e">
        <f t="shared" si="6"/>
        <v>#DIV/0!</v>
      </c>
      <c r="N96" s="65"/>
      <c r="O96" s="69"/>
      <c r="P96" s="357"/>
      <c r="Q96" s="57"/>
      <c r="R96" s="16"/>
      <c r="S96" s="57"/>
    </row>
    <row r="97" spans="1:19" s="2" customFormat="1" ht="12.75" customHeight="1">
      <c r="A97" s="124"/>
      <c r="B97" s="584" t="s">
        <v>280</v>
      </c>
      <c r="C97" s="581">
        <v>370000</v>
      </c>
      <c r="D97" s="582">
        <v>207999</v>
      </c>
      <c r="E97" s="583">
        <f>C97</f>
        <v>370000</v>
      </c>
      <c r="F97" s="583">
        <v>370000</v>
      </c>
      <c r="G97" s="582">
        <v>370000</v>
      </c>
      <c r="H97" s="582"/>
      <c r="I97" s="565"/>
      <c r="J97" s="771">
        <v>270000</v>
      </c>
      <c r="K97" s="771">
        <v>270000</v>
      </c>
      <c r="L97" s="771">
        <v>270000</v>
      </c>
      <c r="M97" s="808">
        <f t="shared" si="6"/>
        <v>1</v>
      </c>
      <c r="N97" s="65"/>
      <c r="O97" s="69"/>
      <c r="P97" s="357"/>
      <c r="Q97" s="57"/>
      <c r="R97" s="16">
        <f t="shared" si="7"/>
        <v>270000</v>
      </c>
      <c r="S97" s="57"/>
    </row>
    <row r="98" spans="1:19" s="2" customFormat="1" ht="12.75" customHeight="1">
      <c r="A98" s="124"/>
      <c r="B98" s="584" t="s">
        <v>281</v>
      </c>
      <c r="C98" s="581">
        <v>20000</v>
      </c>
      <c r="D98" s="582">
        <v>8000</v>
      </c>
      <c r="E98" s="583">
        <v>0</v>
      </c>
      <c r="F98" s="583">
        <v>0</v>
      </c>
      <c r="G98" s="582">
        <v>20000</v>
      </c>
      <c r="H98" s="582"/>
      <c r="I98" s="565"/>
      <c r="J98" s="771">
        <v>20000</v>
      </c>
      <c r="K98" s="771">
        <v>20000</v>
      </c>
      <c r="L98" s="771">
        <v>20000</v>
      </c>
      <c r="M98" s="808">
        <f t="shared" si="6"/>
        <v>1</v>
      </c>
      <c r="N98" s="65"/>
      <c r="O98" s="69"/>
      <c r="P98" s="357"/>
      <c r="Q98" s="57"/>
      <c r="R98" s="16">
        <f t="shared" si="7"/>
        <v>20000</v>
      </c>
      <c r="S98" s="57"/>
    </row>
    <row r="99" spans="1:19" s="2" customFormat="1" ht="12.75" customHeight="1">
      <c r="A99" s="124"/>
      <c r="B99" s="584" t="s">
        <v>282</v>
      </c>
      <c r="C99" s="581">
        <v>50000</v>
      </c>
      <c r="D99" s="582">
        <v>12001</v>
      </c>
      <c r="E99" s="583">
        <v>34336</v>
      </c>
      <c r="F99" s="583">
        <v>34336</v>
      </c>
      <c r="G99" s="582">
        <v>50000</v>
      </c>
      <c r="H99" s="582"/>
      <c r="I99" s="565"/>
      <c r="J99" s="771">
        <f>50000-5000</f>
        <v>45000</v>
      </c>
      <c r="K99" s="771">
        <f>50000-5000</f>
        <v>45000</v>
      </c>
      <c r="L99" s="771">
        <v>45000</v>
      </c>
      <c r="M99" s="808">
        <f t="shared" si="6"/>
        <v>1</v>
      </c>
      <c r="N99" s="65"/>
      <c r="O99" s="69"/>
      <c r="P99" s="357"/>
      <c r="Q99" s="57"/>
      <c r="R99" s="16">
        <f t="shared" si="7"/>
        <v>45000</v>
      </c>
      <c r="S99" s="57"/>
    </row>
    <row r="100" spans="1:19" s="2" customFormat="1" ht="12.75" customHeight="1" hidden="1">
      <c r="A100" s="124"/>
      <c r="B100" s="579" t="s">
        <v>183</v>
      </c>
      <c r="C100" s="576"/>
      <c r="D100" s="620"/>
      <c r="E100" s="578">
        <v>10000</v>
      </c>
      <c r="F100" s="578">
        <v>10000</v>
      </c>
      <c r="G100" s="620"/>
      <c r="H100" s="620"/>
      <c r="I100" s="399"/>
      <c r="J100" s="770"/>
      <c r="K100" s="770"/>
      <c r="L100" s="770"/>
      <c r="M100" s="808" t="e">
        <f t="shared" si="6"/>
        <v>#DIV/0!</v>
      </c>
      <c r="N100" s="65"/>
      <c r="O100" s="69"/>
      <c r="P100" s="357"/>
      <c r="Q100" s="57"/>
      <c r="R100" s="16"/>
      <c r="S100" s="57"/>
    </row>
    <row r="101" spans="1:19" s="2" customFormat="1" ht="12.75" customHeight="1">
      <c r="A101" s="124"/>
      <c r="B101" s="584" t="s">
        <v>327</v>
      </c>
      <c r="C101" s="581">
        <v>20000</v>
      </c>
      <c r="D101" s="582">
        <v>20000</v>
      </c>
      <c r="E101" s="583">
        <f>C101</f>
        <v>20000</v>
      </c>
      <c r="F101" s="583">
        <v>20000</v>
      </c>
      <c r="G101" s="582">
        <v>20000</v>
      </c>
      <c r="H101" s="582">
        <v>20000</v>
      </c>
      <c r="I101" s="565">
        <v>20000</v>
      </c>
      <c r="J101" s="771">
        <v>10000</v>
      </c>
      <c r="K101" s="771">
        <v>10000</v>
      </c>
      <c r="L101" s="771">
        <v>0</v>
      </c>
      <c r="M101" s="808">
        <f t="shared" si="6"/>
        <v>0</v>
      </c>
      <c r="N101" s="65"/>
      <c r="O101" s="69"/>
      <c r="P101" s="357"/>
      <c r="Q101" s="57"/>
      <c r="R101" s="16">
        <f t="shared" si="7"/>
        <v>10000</v>
      </c>
      <c r="S101" s="57"/>
    </row>
    <row r="102" spans="1:19" s="2" customFormat="1" ht="12.75" customHeight="1">
      <c r="A102" s="124"/>
      <c r="B102" s="584" t="s">
        <v>321</v>
      </c>
      <c r="C102" s="581"/>
      <c r="D102" s="582"/>
      <c r="E102" s="583"/>
      <c r="F102" s="583"/>
      <c r="G102" s="582">
        <v>210000</v>
      </c>
      <c r="H102" s="582"/>
      <c r="I102" s="587">
        <v>210000</v>
      </c>
      <c r="J102" s="771">
        <v>100000</v>
      </c>
      <c r="K102" s="771">
        <v>100000</v>
      </c>
      <c r="L102" s="771">
        <v>0</v>
      </c>
      <c r="M102" s="808">
        <f t="shared" si="6"/>
        <v>0</v>
      </c>
      <c r="N102" s="65"/>
      <c r="O102" s="69"/>
      <c r="P102" s="357"/>
      <c r="Q102" s="57"/>
      <c r="R102" s="16">
        <f>J102</f>
        <v>100000</v>
      </c>
      <c r="S102" s="57"/>
    </row>
    <row r="103" spans="1:19" s="2" customFormat="1" ht="12.75" customHeight="1">
      <c r="A103" s="124"/>
      <c r="B103" s="584" t="s">
        <v>320</v>
      </c>
      <c r="C103" s="581"/>
      <c r="D103" s="582"/>
      <c r="E103" s="594">
        <v>40000</v>
      </c>
      <c r="F103" s="594">
        <v>40000</v>
      </c>
      <c r="G103" s="582">
        <v>50000</v>
      </c>
      <c r="H103" s="582"/>
      <c r="I103" s="587">
        <v>0</v>
      </c>
      <c r="J103" s="771">
        <v>50000</v>
      </c>
      <c r="K103" s="771">
        <v>50000</v>
      </c>
      <c r="L103" s="771">
        <v>0</v>
      </c>
      <c r="M103" s="808">
        <f t="shared" si="6"/>
        <v>0</v>
      </c>
      <c r="N103" s="65"/>
      <c r="O103" s="69"/>
      <c r="P103" s="357"/>
      <c r="Q103" s="57"/>
      <c r="R103" s="16">
        <f>J103</f>
        <v>50000</v>
      </c>
      <c r="S103" s="57"/>
    </row>
    <row r="104" spans="1:19" s="2" customFormat="1" ht="12.75" customHeight="1" hidden="1">
      <c r="A104" s="124"/>
      <c r="B104" s="579" t="s">
        <v>312</v>
      </c>
      <c r="C104" s="576"/>
      <c r="D104" s="620"/>
      <c r="E104" s="621">
        <v>15000</v>
      </c>
      <c r="F104" s="621">
        <v>15000</v>
      </c>
      <c r="G104" s="620"/>
      <c r="H104" s="620"/>
      <c r="I104" s="622"/>
      <c r="J104" s="770"/>
      <c r="K104" s="770"/>
      <c r="L104" s="770"/>
      <c r="M104" s="808" t="e">
        <f t="shared" si="6"/>
        <v>#DIV/0!</v>
      </c>
      <c r="N104" s="65"/>
      <c r="O104" s="69"/>
      <c r="P104" s="357"/>
      <c r="Q104" s="57"/>
      <c r="R104" s="16"/>
      <c r="S104" s="57"/>
    </row>
    <row r="105" spans="1:19" s="2" customFormat="1" ht="12.75" customHeight="1" hidden="1">
      <c r="A105" s="124"/>
      <c r="B105" s="584" t="s">
        <v>284</v>
      </c>
      <c r="C105" s="581"/>
      <c r="D105" s="582"/>
      <c r="E105" s="594"/>
      <c r="F105" s="594"/>
      <c r="G105" s="582"/>
      <c r="H105" s="582"/>
      <c r="I105" s="587"/>
      <c r="J105" s="771"/>
      <c r="K105" s="771"/>
      <c r="L105" s="771"/>
      <c r="M105" s="808" t="e">
        <f t="shared" si="6"/>
        <v>#DIV/0!</v>
      </c>
      <c r="N105" s="65"/>
      <c r="O105" s="69"/>
      <c r="P105" s="357"/>
      <c r="Q105" s="57"/>
      <c r="R105" s="16">
        <f t="shared" si="7"/>
        <v>0</v>
      </c>
      <c r="S105" s="57"/>
    </row>
    <row r="106" spans="1:19" s="2" customFormat="1" ht="12.75" customHeight="1" hidden="1">
      <c r="A106" s="124"/>
      <c r="B106" s="625" t="s">
        <v>256</v>
      </c>
      <c r="C106" s="624"/>
      <c r="D106" s="626"/>
      <c r="E106" s="627"/>
      <c r="F106" s="627"/>
      <c r="G106" s="626"/>
      <c r="H106" s="626"/>
      <c r="I106" s="626"/>
      <c r="J106" s="772">
        <v>0</v>
      </c>
      <c r="K106" s="772">
        <v>0</v>
      </c>
      <c r="L106" s="772"/>
      <c r="M106" s="808" t="e">
        <f t="shared" si="6"/>
        <v>#DIV/0!</v>
      </c>
      <c r="N106" s="65"/>
      <c r="O106" s="69"/>
      <c r="P106" s="357"/>
      <c r="Q106" s="57"/>
      <c r="R106" s="16">
        <f t="shared" si="7"/>
        <v>0</v>
      </c>
      <c r="S106" s="57"/>
    </row>
    <row r="107" spans="1:19" s="2" customFormat="1" ht="12.75" customHeight="1" hidden="1">
      <c r="A107" s="124"/>
      <c r="B107" s="584" t="s">
        <v>285</v>
      </c>
      <c r="C107" s="581"/>
      <c r="D107" s="582"/>
      <c r="E107" s="594"/>
      <c r="F107" s="594"/>
      <c r="G107" s="582">
        <v>90000</v>
      </c>
      <c r="H107" s="620"/>
      <c r="I107" s="622"/>
      <c r="J107" s="770"/>
      <c r="K107" s="770"/>
      <c r="L107" s="770"/>
      <c r="M107" s="808" t="e">
        <f t="shared" si="6"/>
        <v>#DIV/0!</v>
      </c>
      <c r="N107" s="65"/>
      <c r="O107" s="69"/>
      <c r="P107" s="357"/>
      <c r="Q107" s="57"/>
      <c r="R107" s="16">
        <f t="shared" si="7"/>
        <v>0</v>
      </c>
      <c r="S107" s="57"/>
    </row>
    <row r="108" spans="1:19" s="2" customFormat="1" ht="12.75" customHeight="1">
      <c r="A108" s="124"/>
      <c r="B108" s="584" t="s">
        <v>319</v>
      </c>
      <c r="C108" s="581"/>
      <c r="D108" s="582"/>
      <c r="E108" s="594"/>
      <c r="F108" s="594"/>
      <c r="G108" s="582">
        <v>50000</v>
      </c>
      <c r="H108" s="582">
        <v>10000</v>
      </c>
      <c r="I108" s="587">
        <v>22000</v>
      </c>
      <c r="J108" s="771">
        <v>50000</v>
      </c>
      <c r="K108" s="771">
        <v>50000</v>
      </c>
      <c r="L108" s="771">
        <v>50000</v>
      </c>
      <c r="M108" s="808">
        <f t="shared" si="6"/>
        <v>1</v>
      </c>
      <c r="N108" s="65"/>
      <c r="O108" s="69"/>
      <c r="P108" s="357"/>
      <c r="Q108" s="57"/>
      <c r="R108" s="16">
        <f t="shared" si="7"/>
        <v>50000</v>
      </c>
      <c r="S108" s="57"/>
    </row>
    <row r="109" spans="1:19" s="2" customFormat="1" ht="12.75" customHeight="1">
      <c r="A109" s="124"/>
      <c r="B109" s="589" t="s">
        <v>326</v>
      </c>
      <c r="C109" s="824"/>
      <c r="D109" s="565"/>
      <c r="E109" s="825"/>
      <c r="F109" s="825"/>
      <c r="G109" s="565"/>
      <c r="H109" s="565"/>
      <c r="I109" s="565"/>
      <c r="J109" s="771">
        <v>20000</v>
      </c>
      <c r="K109" s="771">
        <v>20000</v>
      </c>
      <c r="L109" s="771">
        <v>20000</v>
      </c>
      <c r="M109" s="808">
        <f t="shared" si="6"/>
        <v>1</v>
      </c>
      <c r="N109" s="65"/>
      <c r="O109" s="69"/>
      <c r="P109" s="357"/>
      <c r="Q109" s="57"/>
      <c r="R109" s="16">
        <f t="shared" si="7"/>
        <v>20000</v>
      </c>
      <c r="S109" s="57"/>
    </row>
    <row r="110" spans="1:19" s="2" customFormat="1" ht="12.75" customHeight="1">
      <c r="A110" s="124"/>
      <c r="B110" s="589" t="s">
        <v>328</v>
      </c>
      <c r="C110" s="824"/>
      <c r="D110" s="565"/>
      <c r="E110" s="825"/>
      <c r="F110" s="825"/>
      <c r="G110" s="565"/>
      <c r="H110" s="565"/>
      <c r="I110" s="565"/>
      <c r="J110" s="771">
        <v>10000</v>
      </c>
      <c r="K110" s="771">
        <v>10000</v>
      </c>
      <c r="L110" s="771">
        <v>10000</v>
      </c>
      <c r="M110" s="808">
        <f t="shared" si="6"/>
        <v>1</v>
      </c>
      <c r="N110" s="65"/>
      <c r="O110" s="69"/>
      <c r="P110" s="357"/>
      <c r="Q110" s="57"/>
      <c r="R110" s="16">
        <f t="shared" si="7"/>
        <v>10000</v>
      </c>
      <c r="S110" s="57"/>
    </row>
    <row r="111" spans="1:19" s="2" customFormat="1" ht="12.75" customHeight="1">
      <c r="A111" s="124"/>
      <c r="B111" s="871" t="s">
        <v>365</v>
      </c>
      <c r="C111" s="824"/>
      <c r="D111" s="565"/>
      <c r="E111" s="825"/>
      <c r="F111" s="825"/>
      <c r="G111" s="565"/>
      <c r="H111" s="565"/>
      <c r="I111" s="565"/>
      <c r="J111" s="771">
        <v>50000</v>
      </c>
      <c r="K111" s="771">
        <v>50000</v>
      </c>
      <c r="L111" s="771">
        <v>50000</v>
      </c>
      <c r="M111" s="808">
        <f t="shared" si="6"/>
        <v>1</v>
      </c>
      <c r="N111" s="65"/>
      <c r="O111" s="69"/>
      <c r="P111" s="357"/>
      <c r="Q111" s="57"/>
      <c r="R111" s="16">
        <f t="shared" si="7"/>
        <v>50000</v>
      </c>
      <c r="S111" s="57"/>
    </row>
    <row r="112" spans="1:19" s="2" customFormat="1" ht="12.75" customHeight="1">
      <c r="A112" s="124"/>
      <c r="B112" s="871" t="s">
        <v>364</v>
      </c>
      <c r="C112" s="824"/>
      <c r="D112" s="565"/>
      <c r="E112" s="825"/>
      <c r="F112" s="825"/>
      <c r="G112" s="565"/>
      <c r="H112" s="565"/>
      <c r="I112" s="565"/>
      <c r="J112" s="771">
        <v>50000</v>
      </c>
      <c r="K112" s="771">
        <v>50000</v>
      </c>
      <c r="L112" s="771">
        <v>0</v>
      </c>
      <c r="M112" s="808">
        <f t="shared" si="6"/>
        <v>0</v>
      </c>
      <c r="N112" s="65"/>
      <c r="O112" s="69"/>
      <c r="P112" s="357"/>
      <c r="Q112" s="57"/>
      <c r="R112" s="16">
        <f t="shared" si="7"/>
        <v>50000</v>
      </c>
      <c r="S112" s="57"/>
    </row>
    <row r="113" spans="1:19" s="2" customFormat="1" ht="12.75" customHeight="1">
      <c r="A113" s="124"/>
      <c r="B113" s="867" t="s">
        <v>438</v>
      </c>
      <c r="C113" s="824"/>
      <c r="D113" s="565"/>
      <c r="E113" s="825"/>
      <c r="F113" s="825"/>
      <c r="G113" s="565"/>
      <c r="H113" s="565"/>
      <c r="I113" s="565"/>
      <c r="J113" s="770"/>
      <c r="K113" s="770"/>
      <c r="L113" s="770">
        <v>99500</v>
      </c>
      <c r="M113" s="870"/>
      <c r="N113" s="65"/>
      <c r="O113" s="69"/>
      <c r="P113" s="357"/>
      <c r="Q113" s="57"/>
      <c r="R113" s="16"/>
      <c r="S113" s="57"/>
    </row>
    <row r="114" spans="1:19" s="2" customFormat="1" ht="12.75" customHeight="1" thickBot="1">
      <c r="A114" s="124"/>
      <c r="B114" s="579" t="s">
        <v>437</v>
      </c>
      <c r="C114" s="576"/>
      <c r="D114" s="577">
        <f>130000+90000+30000+100000+57000+393700+15000</f>
        <v>815700</v>
      </c>
      <c r="E114" s="578"/>
      <c r="F114" s="578">
        <v>155382</v>
      </c>
      <c r="G114" s="577"/>
      <c r="H114" s="577"/>
      <c r="I114" s="406">
        <v>70420</v>
      </c>
      <c r="J114" s="757">
        <v>0</v>
      </c>
      <c r="K114" s="823">
        <v>230000</v>
      </c>
      <c r="L114" s="757">
        <f>229738</f>
        <v>229738</v>
      </c>
      <c r="M114" s="801">
        <f t="shared" si="6"/>
        <v>0.9988608695652174</v>
      </c>
      <c r="N114" s="65"/>
      <c r="O114" s="69"/>
      <c r="P114" s="357"/>
      <c r="Q114" s="57"/>
      <c r="R114" s="16"/>
      <c r="S114" s="57"/>
    </row>
    <row r="115" spans="1:19" s="2" customFormat="1" ht="12.75" customHeight="1" hidden="1">
      <c r="A115" s="124"/>
      <c r="B115" s="579"/>
      <c r="C115" s="576"/>
      <c r="D115" s="577"/>
      <c r="E115" s="578"/>
      <c r="F115" s="578"/>
      <c r="G115" s="577"/>
      <c r="H115" s="577"/>
      <c r="I115" s="398"/>
      <c r="J115" s="757"/>
      <c r="K115" s="757"/>
      <c r="L115" s="757"/>
      <c r="M115" s="757"/>
      <c r="N115" s="65"/>
      <c r="O115" s="69"/>
      <c r="P115" s="357"/>
      <c r="Q115" s="57"/>
      <c r="R115" s="16"/>
      <c r="S115" s="57"/>
    </row>
    <row r="116" spans="1:19" s="2" customFormat="1" ht="12.75" customHeight="1" hidden="1">
      <c r="A116" s="124"/>
      <c r="B116" s="579"/>
      <c r="C116" s="429"/>
      <c r="D116" s="406"/>
      <c r="E116" s="441"/>
      <c r="F116" s="441"/>
      <c r="G116" s="406"/>
      <c r="H116" s="406"/>
      <c r="I116" s="406"/>
      <c r="J116" s="757"/>
      <c r="K116" s="757"/>
      <c r="L116" s="757"/>
      <c r="M116" s="757"/>
      <c r="N116" s="65"/>
      <c r="O116" s="69"/>
      <c r="P116" s="357"/>
      <c r="Q116" s="57"/>
      <c r="R116" s="16"/>
      <c r="S116" s="57"/>
    </row>
    <row r="117" spans="1:19" s="2" customFormat="1" ht="12.75" customHeight="1" hidden="1">
      <c r="A117" s="124"/>
      <c r="B117" s="579"/>
      <c r="C117" s="429"/>
      <c r="D117" s="406"/>
      <c r="E117" s="441"/>
      <c r="F117" s="441"/>
      <c r="G117" s="406"/>
      <c r="H117" s="406"/>
      <c r="I117" s="406"/>
      <c r="J117" s="757"/>
      <c r="K117" s="757"/>
      <c r="L117" s="757"/>
      <c r="M117" s="757"/>
      <c r="N117" s="65"/>
      <c r="O117" s="69"/>
      <c r="P117" s="357"/>
      <c r="Q117" s="57"/>
      <c r="R117" s="16"/>
      <c r="S117" s="57"/>
    </row>
    <row r="118" spans="1:19" s="2" customFormat="1" ht="12.75" customHeight="1" hidden="1">
      <c r="A118" s="124"/>
      <c r="B118" s="579"/>
      <c r="C118" s="429"/>
      <c r="D118" s="406"/>
      <c r="E118" s="441"/>
      <c r="F118" s="441"/>
      <c r="G118" s="406"/>
      <c r="H118" s="406"/>
      <c r="I118" s="406"/>
      <c r="J118" s="757"/>
      <c r="K118" s="757"/>
      <c r="L118" s="757"/>
      <c r="M118" s="757"/>
      <c r="N118" s="65"/>
      <c r="O118" s="69"/>
      <c r="P118" s="357"/>
      <c r="Q118" s="57"/>
      <c r="R118" s="16"/>
      <c r="S118" s="57"/>
    </row>
    <row r="119" spans="1:19" s="108" customFormat="1" ht="12.75" customHeight="1" hidden="1">
      <c r="A119" s="284"/>
      <c r="B119" s="678" t="s">
        <v>53</v>
      </c>
      <c r="C119" s="679">
        <v>68000</v>
      </c>
      <c r="D119" s="680">
        <v>68067</v>
      </c>
      <c r="E119" s="681">
        <v>68000</v>
      </c>
      <c r="F119" s="681"/>
      <c r="G119" s="680"/>
      <c r="H119" s="680"/>
      <c r="I119" s="680"/>
      <c r="J119" s="773"/>
      <c r="K119" s="773"/>
      <c r="L119" s="773"/>
      <c r="M119" s="773"/>
      <c r="N119" s="81"/>
      <c r="O119" s="70"/>
      <c r="P119" s="394"/>
      <c r="Q119" s="57"/>
      <c r="R119" s="16"/>
      <c r="S119" s="57"/>
    </row>
    <row r="120" spans="1:19" s="11" customFormat="1" ht="14.25" thickBot="1">
      <c r="A120" s="124"/>
      <c r="B120" s="460" t="s">
        <v>13</v>
      </c>
      <c r="C120" s="683">
        <f aca="true" t="shared" si="8" ref="C120:J120">SUM(C66:C119)</f>
        <v>12493975</v>
      </c>
      <c r="D120" s="360">
        <f t="shared" si="8"/>
        <v>12314901</v>
      </c>
      <c r="E120" s="684">
        <f t="shared" si="8"/>
        <v>12888766</v>
      </c>
      <c r="F120" s="684">
        <f t="shared" si="8"/>
        <v>12988703</v>
      </c>
      <c r="G120" s="360">
        <f t="shared" si="8"/>
        <v>13719257</v>
      </c>
      <c r="H120" s="360">
        <f t="shared" si="8"/>
        <v>5064711</v>
      </c>
      <c r="I120" s="360">
        <f t="shared" si="8"/>
        <v>6325994</v>
      </c>
      <c r="J120" s="774">
        <f t="shared" si="8"/>
        <v>14081624</v>
      </c>
      <c r="K120" s="774">
        <f>SUM(K66:K119)</f>
        <v>15211624</v>
      </c>
      <c r="L120" s="774">
        <f>SUM(L66:L119)</f>
        <v>7426750</v>
      </c>
      <c r="M120" s="774"/>
      <c r="N120" s="685"/>
      <c r="O120" s="686"/>
      <c r="P120" s="687"/>
      <c r="Q120" s="52"/>
      <c r="R120" s="501">
        <f>SUM(R72:R119)</f>
        <v>2360000</v>
      </c>
      <c r="S120" s="134"/>
    </row>
    <row r="121" spans="1:19" s="11" customFormat="1" ht="9" customHeight="1" thickBot="1">
      <c r="A121" s="124"/>
      <c r="B121" s="327"/>
      <c r="C121" s="366"/>
      <c r="D121" s="367"/>
      <c r="E121" s="5"/>
      <c r="F121" s="5"/>
      <c r="G121" s="367"/>
      <c r="H121" s="367"/>
      <c r="I121" s="367"/>
      <c r="J121" s="609"/>
      <c r="K121" s="56"/>
      <c r="L121" s="56"/>
      <c r="M121" s="775"/>
      <c r="N121" s="82"/>
      <c r="O121" s="83"/>
      <c r="P121" s="124"/>
      <c r="Q121" s="52"/>
      <c r="R121" s="16"/>
      <c r="S121" s="134"/>
    </row>
    <row r="122" spans="1:19" s="11" customFormat="1" ht="15" thickBot="1" thickTop="1">
      <c r="A122" s="124"/>
      <c r="B122" s="340" t="s">
        <v>167</v>
      </c>
      <c r="C122" s="341"/>
      <c r="D122" s="343">
        <f aca="true" t="shared" si="9" ref="D122:M122">D120-D63</f>
        <v>-154646</v>
      </c>
      <c r="E122" s="343">
        <f t="shared" si="9"/>
        <v>0</v>
      </c>
      <c r="F122" s="343">
        <f t="shared" si="9"/>
        <v>25684</v>
      </c>
      <c r="G122" s="343">
        <f t="shared" si="9"/>
        <v>0</v>
      </c>
      <c r="H122" s="343">
        <f t="shared" si="9"/>
        <v>-171073</v>
      </c>
      <c r="I122" s="343">
        <f t="shared" si="9"/>
        <v>80293</v>
      </c>
      <c r="J122" s="776">
        <f t="shared" si="9"/>
        <v>0</v>
      </c>
      <c r="K122" s="776">
        <f t="shared" si="9"/>
        <v>0</v>
      </c>
      <c r="L122" s="776">
        <f t="shared" si="9"/>
        <v>224853</v>
      </c>
      <c r="M122" s="776">
        <f t="shared" si="9"/>
        <v>0</v>
      </c>
      <c r="N122" s="82"/>
      <c r="O122" s="83"/>
      <c r="P122" s="124"/>
      <c r="Q122" s="52"/>
      <c r="R122" s="16"/>
      <c r="S122" s="134"/>
    </row>
    <row r="123" spans="2:19" ht="8.25" customHeight="1" thickTop="1">
      <c r="B123" s="67"/>
      <c r="C123" s="67"/>
      <c r="D123" s="67"/>
      <c r="E123" s="67"/>
      <c r="F123" s="67"/>
      <c r="G123" s="368"/>
      <c r="H123" s="368"/>
      <c r="I123" s="368"/>
      <c r="R123" s="28"/>
      <c r="S123" s="134"/>
    </row>
    <row r="124" spans="2:19" ht="18" thickBot="1">
      <c r="B124" s="874" t="s">
        <v>14</v>
      </c>
      <c r="C124" s="874"/>
      <c r="D124" s="874"/>
      <c r="E124" s="874"/>
      <c r="F124" s="874"/>
      <c r="G124" s="874"/>
      <c r="H124" s="874"/>
      <c r="I124" s="874"/>
      <c r="J124" s="874"/>
      <c r="K124" s="874"/>
      <c r="L124" s="874"/>
      <c r="R124" s="29"/>
      <c r="S124" s="134"/>
    </row>
    <row r="125" spans="2:19" ht="27.75">
      <c r="B125" s="454" t="s">
        <v>0</v>
      </c>
      <c r="C125" s="93" t="s">
        <v>299</v>
      </c>
      <c r="D125" s="350" t="s">
        <v>137</v>
      </c>
      <c r="E125" s="93" t="s">
        <v>299</v>
      </c>
      <c r="F125" s="350" t="s">
        <v>137</v>
      </c>
      <c r="G125" s="93" t="s">
        <v>299</v>
      </c>
      <c r="H125" s="350" t="s">
        <v>338</v>
      </c>
      <c r="I125" s="350" t="s">
        <v>338</v>
      </c>
      <c r="J125" s="749" t="s">
        <v>411</v>
      </c>
      <c r="K125" s="749" t="s">
        <v>412</v>
      </c>
      <c r="L125" s="794" t="s">
        <v>414</v>
      </c>
      <c r="M125" s="181" t="s">
        <v>415</v>
      </c>
      <c r="N125" s="1"/>
      <c r="O125" s="41"/>
      <c r="P125" s="351" t="s">
        <v>136</v>
      </c>
      <c r="R125" s="135"/>
      <c r="S125" s="134"/>
    </row>
    <row r="126" spans="2:21" ht="15.75" thickBot="1">
      <c r="B126" s="455"/>
      <c r="C126" s="539">
        <v>2015</v>
      </c>
      <c r="D126" s="353">
        <v>2015</v>
      </c>
      <c r="E126" s="540">
        <v>2016</v>
      </c>
      <c r="F126" s="540">
        <v>2016</v>
      </c>
      <c r="G126" s="353">
        <v>2017</v>
      </c>
      <c r="H126" s="418" t="s">
        <v>339</v>
      </c>
      <c r="I126" s="418" t="s">
        <v>359</v>
      </c>
      <c r="J126" s="395" t="s">
        <v>300</v>
      </c>
      <c r="K126" s="395" t="s">
        <v>300</v>
      </c>
      <c r="L126" s="863">
        <v>43252</v>
      </c>
      <c r="M126" s="182"/>
      <c r="N126" s="1"/>
      <c r="O126" s="41"/>
      <c r="P126" s="355"/>
      <c r="R126" s="29"/>
      <c r="S126" s="134"/>
      <c r="T126" s="29"/>
      <c r="U126" s="29"/>
    </row>
    <row r="127" spans="1:21" s="2" customFormat="1" ht="12.75" customHeight="1">
      <c r="A127" s="124"/>
      <c r="B127" s="456" t="s">
        <v>322</v>
      </c>
      <c r="C127" s="452">
        <v>169000</v>
      </c>
      <c r="D127" s="437">
        <v>42335</v>
      </c>
      <c r="E127" s="448">
        <v>50000</v>
      </c>
      <c r="F127" s="448">
        <v>40506</v>
      </c>
      <c r="G127" s="437">
        <v>47100</v>
      </c>
      <c r="H127" s="437">
        <v>27252</v>
      </c>
      <c r="I127" s="437">
        <v>13552</v>
      </c>
      <c r="J127" s="766">
        <v>45000</v>
      </c>
      <c r="K127" s="766">
        <v>45000</v>
      </c>
      <c r="L127" s="766">
        <v>23489</v>
      </c>
      <c r="M127" s="801">
        <f aca="true" t="shared" si="10" ref="M127:M136">L127/K127</f>
        <v>0.5219777777777778</v>
      </c>
      <c r="P127" s="356"/>
      <c r="R127" s="70"/>
      <c r="S127" s="134"/>
      <c r="T127" s="70"/>
      <c r="U127" s="70"/>
    </row>
    <row r="128" spans="1:21" s="2" customFormat="1" ht="12.75" customHeight="1">
      <c r="A128" s="124"/>
      <c r="B128" s="457" t="s">
        <v>314</v>
      </c>
      <c r="C128" s="430"/>
      <c r="D128" s="398">
        <v>20088</v>
      </c>
      <c r="E128" s="397">
        <v>11000</v>
      </c>
      <c r="F128" s="397">
        <v>17147</v>
      </c>
      <c r="G128" s="398">
        <v>17300</v>
      </c>
      <c r="H128" s="398">
        <v>7095</v>
      </c>
      <c r="I128" s="398">
        <v>9915</v>
      </c>
      <c r="J128" s="757">
        <v>18000</v>
      </c>
      <c r="K128" s="757">
        <v>18000</v>
      </c>
      <c r="L128" s="757">
        <v>8905</v>
      </c>
      <c r="M128" s="801">
        <f t="shared" si="10"/>
        <v>0.49472222222222223</v>
      </c>
      <c r="P128" s="357"/>
      <c r="R128" s="70"/>
      <c r="S128" s="134"/>
      <c r="T128" s="70"/>
      <c r="U128" s="70"/>
    </row>
    <row r="129" spans="1:21" s="2" customFormat="1" ht="12.75" customHeight="1">
      <c r="A129" s="124"/>
      <c r="B129" s="457" t="s">
        <v>313</v>
      </c>
      <c r="C129" s="430"/>
      <c r="D129" s="398">
        <v>88894</v>
      </c>
      <c r="E129" s="397">
        <v>108000</v>
      </c>
      <c r="F129" s="397">
        <v>93886</v>
      </c>
      <c r="G129" s="398">
        <v>113300</v>
      </c>
      <c r="H129" s="398">
        <v>49601</v>
      </c>
      <c r="I129" s="398">
        <v>50557</v>
      </c>
      <c r="J129" s="757">
        <v>115000</v>
      </c>
      <c r="K129" s="757">
        <v>115000</v>
      </c>
      <c r="L129" s="757">
        <v>38806</v>
      </c>
      <c r="M129" s="801">
        <f t="shared" si="10"/>
        <v>0.33744347826086957</v>
      </c>
      <c r="P129" s="358"/>
      <c r="R129" s="70"/>
      <c r="S129" s="134"/>
      <c r="T129" s="70"/>
      <c r="U129" s="70"/>
    </row>
    <row r="130" spans="1:21" s="2" customFormat="1" ht="12.75" customHeight="1">
      <c r="A130" s="124"/>
      <c r="B130" s="458" t="s">
        <v>1</v>
      </c>
      <c r="C130" s="430">
        <v>25000</v>
      </c>
      <c r="D130" s="398">
        <v>0</v>
      </c>
      <c r="E130" s="595">
        <f>C130</f>
        <v>25000</v>
      </c>
      <c r="F130" s="595">
        <v>960</v>
      </c>
      <c r="G130" s="398">
        <v>20000</v>
      </c>
      <c r="H130" s="398">
        <v>0</v>
      </c>
      <c r="I130" s="398"/>
      <c r="J130" s="757">
        <f>20000-5000</f>
        <v>15000</v>
      </c>
      <c r="K130" s="757">
        <f>20000-5000</f>
        <v>15000</v>
      </c>
      <c r="L130" s="757">
        <v>0</v>
      </c>
      <c r="M130" s="801">
        <f t="shared" si="10"/>
        <v>0</v>
      </c>
      <c r="P130" s="357"/>
      <c r="R130" s="70"/>
      <c r="S130" s="134"/>
      <c r="T130" s="70"/>
      <c r="U130" s="70"/>
    </row>
    <row r="131" spans="1:21" s="2" customFormat="1" ht="12.75" customHeight="1" hidden="1">
      <c r="A131" s="124"/>
      <c r="B131" s="458" t="s">
        <v>197</v>
      </c>
      <c r="C131" s="430"/>
      <c r="D131" s="398">
        <v>5857</v>
      </c>
      <c r="E131" s="595">
        <v>197957</v>
      </c>
      <c r="F131" s="595">
        <v>197957</v>
      </c>
      <c r="G131" s="398"/>
      <c r="H131" s="398"/>
      <c r="I131" s="399"/>
      <c r="J131" s="757"/>
      <c r="K131" s="757"/>
      <c r="L131" s="757"/>
      <c r="M131" s="801" t="e">
        <f t="shared" si="10"/>
        <v>#DIV/0!</v>
      </c>
      <c r="P131" s="357"/>
      <c r="R131" s="70"/>
      <c r="S131" s="134"/>
      <c r="T131" s="70"/>
      <c r="U131" s="70"/>
    </row>
    <row r="132" spans="1:21" s="2" customFormat="1" ht="12.75" customHeight="1">
      <c r="A132" s="124"/>
      <c r="B132" s="458" t="s">
        <v>198</v>
      </c>
      <c r="C132" s="430"/>
      <c r="D132" s="398"/>
      <c r="E132" s="595"/>
      <c r="F132" s="595">
        <v>12364</v>
      </c>
      <c r="G132" s="398">
        <v>24960</v>
      </c>
      <c r="H132" s="398">
        <v>10358</v>
      </c>
      <c r="I132" s="399">
        <v>12402</v>
      </c>
      <c r="J132" s="757">
        <f>3275+1194+1943+1429+593+589+589+589+589+589+589+589+589+589+589+589+589+248+124+454+454+454+454+556+556+184+184+539+108+120+2011+311+311+311+311+311+311+311+311+311+19</f>
        <v>24766</v>
      </c>
      <c r="K132" s="757">
        <f>3275+1194+1943+1429+593+589+589+589+589+589+589+589+589+589+589+589+589+248+124+454+454+454+454+556+556+184+184+539+108+120+2011+311+311+311+311+311+311+311+311+311+19</f>
        <v>24766</v>
      </c>
      <c r="L132" s="757">
        <v>12402</v>
      </c>
      <c r="M132" s="801">
        <f t="shared" si="10"/>
        <v>0.5007671808124041</v>
      </c>
      <c r="P132" s="357"/>
      <c r="R132" s="70"/>
      <c r="S132" s="134"/>
      <c r="T132" s="70"/>
      <c r="U132" s="70"/>
    </row>
    <row r="133" spans="1:21" s="2" customFormat="1" ht="12.75" customHeight="1">
      <c r="A133" s="124"/>
      <c r="B133" s="458" t="s">
        <v>8</v>
      </c>
      <c r="C133" s="430">
        <v>6000</v>
      </c>
      <c r="D133" s="398">
        <v>25</v>
      </c>
      <c r="E133" s="595">
        <f>C133</f>
        <v>6000</v>
      </c>
      <c r="F133" s="595">
        <v>17800</v>
      </c>
      <c r="G133" s="398">
        <v>6200</v>
      </c>
      <c r="H133" s="398">
        <v>3011</v>
      </c>
      <c r="I133" s="398">
        <v>3011</v>
      </c>
      <c r="J133" s="757">
        <v>7000</v>
      </c>
      <c r="K133" s="757">
        <v>7000</v>
      </c>
      <c r="L133" s="757">
        <v>686</v>
      </c>
      <c r="M133" s="801">
        <f t="shared" si="10"/>
        <v>0.098</v>
      </c>
      <c r="P133" s="357"/>
      <c r="R133" s="70"/>
      <c r="S133" s="134"/>
      <c r="T133" s="70"/>
      <c r="U133" s="70"/>
    </row>
    <row r="134" spans="1:21" s="2" customFormat="1" ht="12.75" customHeight="1">
      <c r="A134" s="124"/>
      <c r="B134" s="458" t="s">
        <v>16</v>
      </c>
      <c r="C134" s="430">
        <v>95000</v>
      </c>
      <c r="D134" s="398">
        <v>56433</v>
      </c>
      <c r="E134" s="595">
        <v>235800</v>
      </c>
      <c r="F134" s="595">
        <v>205254</v>
      </c>
      <c r="G134" s="398">
        <v>280000</v>
      </c>
      <c r="H134" s="398">
        <v>34311</v>
      </c>
      <c r="I134" s="398">
        <v>35590</v>
      </c>
      <c r="J134" s="757">
        <v>100000</v>
      </c>
      <c r="K134" s="757">
        <v>100000</v>
      </c>
      <c r="L134" s="757">
        <v>14218</v>
      </c>
      <c r="M134" s="801">
        <f t="shared" si="10"/>
        <v>0.14218</v>
      </c>
      <c r="P134" s="357"/>
      <c r="R134" s="70"/>
      <c r="S134" s="134"/>
      <c r="T134" s="70"/>
      <c r="U134" s="70"/>
    </row>
    <row r="135" spans="1:21" s="2" customFormat="1" ht="12.75" customHeight="1">
      <c r="A135" s="124"/>
      <c r="B135" s="748" t="s">
        <v>435</v>
      </c>
      <c r="C135" s="864"/>
      <c r="D135" s="492"/>
      <c r="E135" s="865"/>
      <c r="F135" s="865"/>
      <c r="G135" s="492"/>
      <c r="H135" s="492"/>
      <c r="I135" s="492"/>
      <c r="J135" s="773"/>
      <c r="K135" s="773">
        <v>30000</v>
      </c>
      <c r="L135" s="773"/>
      <c r="M135" s="801"/>
      <c r="P135" s="688"/>
      <c r="R135" s="70"/>
      <c r="S135" s="134"/>
      <c r="T135" s="70"/>
      <c r="U135" s="70"/>
    </row>
    <row r="136" spans="1:21" s="2" customFormat="1" ht="12.75" customHeight="1" thickBot="1">
      <c r="A136" s="124"/>
      <c r="B136" s="549" t="s">
        <v>10</v>
      </c>
      <c r="C136" s="550">
        <v>319340</v>
      </c>
      <c r="D136" s="551">
        <v>287854</v>
      </c>
      <c r="E136" s="552">
        <v>319826</v>
      </c>
      <c r="F136" s="552">
        <v>298092</v>
      </c>
      <c r="G136" s="551">
        <v>442295</v>
      </c>
      <c r="H136" s="551">
        <v>143190</v>
      </c>
      <c r="I136" s="551">
        <v>180034</v>
      </c>
      <c r="J136" s="779">
        <v>590481</v>
      </c>
      <c r="K136" s="779">
        <v>590481</v>
      </c>
      <c r="L136" s="779">
        <v>211457</v>
      </c>
      <c r="M136" s="821">
        <f t="shared" si="10"/>
        <v>0.3581097444286946</v>
      </c>
      <c r="P136" s="359"/>
      <c r="Q136" s="70"/>
      <c r="R136" s="70"/>
      <c r="S136" s="500"/>
      <c r="T136" s="70"/>
      <c r="U136" s="70"/>
    </row>
    <row r="137" spans="1:21" s="11" customFormat="1" ht="14.25" thickBot="1">
      <c r="A137" s="124"/>
      <c r="B137" s="460" t="s">
        <v>2</v>
      </c>
      <c r="C137" s="373">
        <f aca="true" t="shared" si="11" ref="C137:J137">SUM(C127:C136)</f>
        <v>614340</v>
      </c>
      <c r="D137" s="360">
        <f t="shared" si="11"/>
        <v>501486</v>
      </c>
      <c r="E137" s="371">
        <f t="shared" si="11"/>
        <v>953583</v>
      </c>
      <c r="F137" s="371">
        <f t="shared" si="11"/>
        <v>883966</v>
      </c>
      <c r="G137" s="360">
        <f t="shared" si="11"/>
        <v>951155</v>
      </c>
      <c r="H137" s="360">
        <f t="shared" si="11"/>
        <v>274818</v>
      </c>
      <c r="I137" s="372">
        <f t="shared" si="11"/>
        <v>305061</v>
      </c>
      <c r="J137" s="780">
        <f t="shared" si="11"/>
        <v>915247</v>
      </c>
      <c r="K137" s="780">
        <f>SUM(K127:K136)</f>
        <v>945247</v>
      </c>
      <c r="L137" s="780">
        <f>SUM(L127:L136)</f>
        <v>309963</v>
      </c>
      <c r="M137" s="780"/>
      <c r="P137" s="124"/>
      <c r="Q137" s="16"/>
      <c r="R137" s="52"/>
      <c r="S137" s="500"/>
      <c r="T137" s="52"/>
      <c r="U137" s="52"/>
    </row>
    <row r="138" spans="2:21" ht="15.75" thickBot="1">
      <c r="B138" s="3"/>
      <c r="C138" s="17"/>
      <c r="D138" s="17"/>
      <c r="E138" s="22"/>
      <c r="F138" s="22"/>
      <c r="G138" s="362"/>
      <c r="H138" s="362"/>
      <c r="I138" s="362"/>
      <c r="J138" s="751"/>
      <c r="K138" s="751"/>
      <c r="L138" s="751"/>
      <c r="M138" s="751"/>
      <c r="Q138" s="16"/>
      <c r="R138" s="29"/>
      <c r="T138" s="29"/>
      <c r="U138" s="29"/>
    </row>
    <row r="139" spans="2:21" ht="15.75" thickBot="1">
      <c r="B139" s="89" t="s">
        <v>3</v>
      </c>
      <c r="C139" s="17"/>
      <c r="D139" s="17"/>
      <c r="E139" s="22"/>
      <c r="F139" s="22"/>
      <c r="G139" s="362"/>
      <c r="H139" s="362"/>
      <c r="I139" s="362"/>
      <c r="J139" s="609"/>
      <c r="K139" s="609"/>
      <c r="L139" s="609"/>
      <c r="M139" s="609"/>
      <c r="Q139" s="16"/>
      <c r="R139" s="29"/>
      <c r="T139" s="29"/>
      <c r="U139" s="29"/>
    </row>
    <row r="140" spans="2:21" ht="12.75" customHeight="1">
      <c r="B140" s="642" t="s">
        <v>11</v>
      </c>
      <c r="C140" s="452">
        <v>21000</v>
      </c>
      <c r="D140" s="437">
        <v>68390</v>
      </c>
      <c r="E140" s="448">
        <f>C140</f>
        <v>21000</v>
      </c>
      <c r="F140" s="448">
        <v>63713</v>
      </c>
      <c r="G140" s="437">
        <v>25000</v>
      </c>
      <c r="H140" s="437">
        <v>10525</v>
      </c>
      <c r="I140" s="437">
        <v>11115</v>
      </c>
      <c r="J140" s="766">
        <v>40000</v>
      </c>
      <c r="K140" s="766">
        <v>40000</v>
      </c>
      <c r="L140" s="766">
        <v>7760</v>
      </c>
      <c r="M140" s="766"/>
      <c r="P140" s="356"/>
      <c r="Q140" s="16"/>
      <c r="R140" s="29"/>
      <c r="T140" s="29"/>
      <c r="U140" s="29"/>
    </row>
    <row r="141" spans="2:21" ht="12.75" customHeight="1" hidden="1">
      <c r="B141" s="643" t="s">
        <v>199</v>
      </c>
      <c r="C141" s="430"/>
      <c r="D141" s="398"/>
      <c r="E141" s="397"/>
      <c r="F141" s="397"/>
      <c r="G141" s="398"/>
      <c r="H141" s="398"/>
      <c r="I141" s="399"/>
      <c r="J141" s="757"/>
      <c r="K141" s="757"/>
      <c r="L141" s="757"/>
      <c r="M141" s="757"/>
      <c r="P141" s="357"/>
      <c r="Q141" s="16"/>
      <c r="R141" s="29"/>
      <c r="T141" s="29"/>
      <c r="U141" s="29"/>
    </row>
    <row r="142" spans="2:21" ht="12.75" customHeight="1" hidden="1">
      <c r="B142" s="643" t="s">
        <v>200</v>
      </c>
      <c r="C142" s="430"/>
      <c r="D142" s="398"/>
      <c r="E142" s="595">
        <v>197957</v>
      </c>
      <c r="F142" s="595">
        <v>197957</v>
      </c>
      <c r="G142" s="398"/>
      <c r="H142" s="398"/>
      <c r="I142" s="399"/>
      <c r="J142" s="757"/>
      <c r="K142" s="757"/>
      <c r="L142" s="757"/>
      <c r="M142" s="757"/>
      <c r="P142" s="357"/>
      <c r="Q142" s="16"/>
      <c r="R142" s="29"/>
      <c r="T142" s="29"/>
      <c r="U142" s="29"/>
    </row>
    <row r="143" spans="2:21" ht="12.75" customHeight="1">
      <c r="B143" s="748" t="s">
        <v>435</v>
      </c>
      <c r="C143" s="864"/>
      <c r="D143" s="492"/>
      <c r="E143" s="865"/>
      <c r="F143" s="865"/>
      <c r="G143" s="492"/>
      <c r="H143" s="492"/>
      <c r="I143" s="680"/>
      <c r="J143" s="773"/>
      <c r="K143" s="773">
        <v>30000</v>
      </c>
      <c r="L143" s="773"/>
      <c r="M143" s="757"/>
      <c r="P143" s="688"/>
      <c r="Q143" s="16"/>
      <c r="R143" s="29"/>
      <c r="T143" s="29"/>
      <c r="U143" s="29"/>
    </row>
    <row r="144" spans="2:21" ht="14.25" thickBot="1">
      <c r="B144" s="553" t="s">
        <v>4</v>
      </c>
      <c r="C144" s="554">
        <v>593340</v>
      </c>
      <c r="D144" s="555">
        <v>566000</v>
      </c>
      <c r="E144" s="556">
        <f>C144+486+140800</f>
        <v>734626</v>
      </c>
      <c r="F144" s="556">
        <v>734626</v>
      </c>
      <c r="G144" s="555">
        <v>926155</v>
      </c>
      <c r="H144" s="555">
        <v>380595</v>
      </c>
      <c r="I144" s="555">
        <v>456714</v>
      </c>
      <c r="J144" s="781">
        <v>875247</v>
      </c>
      <c r="K144" s="781">
        <v>875247</v>
      </c>
      <c r="L144" s="781">
        <v>425240</v>
      </c>
      <c r="M144" s="807">
        <f>L144/K144</f>
        <v>0.48585142251273067</v>
      </c>
      <c r="P144" s="359"/>
      <c r="Q144" s="28"/>
      <c r="R144" s="29"/>
      <c r="T144" s="29"/>
      <c r="U144" s="29"/>
    </row>
    <row r="145" spans="1:21" s="11" customFormat="1" ht="14.25" thickBot="1">
      <c r="A145" s="124"/>
      <c r="B145" s="460" t="s">
        <v>5</v>
      </c>
      <c r="C145" s="373">
        <f aca="true" t="shared" si="12" ref="C145:J145">SUM(C140:C144)</f>
        <v>614340</v>
      </c>
      <c r="D145" s="360">
        <f t="shared" si="12"/>
        <v>634390</v>
      </c>
      <c r="E145" s="371">
        <f t="shared" si="12"/>
        <v>953583</v>
      </c>
      <c r="F145" s="371">
        <f t="shared" si="12"/>
        <v>996296</v>
      </c>
      <c r="G145" s="360">
        <f t="shared" si="12"/>
        <v>951155</v>
      </c>
      <c r="H145" s="360">
        <f t="shared" si="12"/>
        <v>391120</v>
      </c>
      <c r="I145" s="372">
        <f t="shared" si="12"/>
        <v>467829</v>
      </c>
      <c r="J145" s="780">
        <f t="shared" si="12"/>
        <v>915247</v>
      </c>
      <c r="K145" s="780">
        <f>SUM(K140:K144)</f>
        <v>945247</v>
      </c>
      <c r="L145" s="780">
        <f>SUM(L140:L144)</f>
        <v>433000</v>
      </c>
      <c r="M145" s="780">
        <f>SUM(M140:M144)</f>
        <v>0.48585142251273067</v>
      </c>
      <c r="P145" s="124"/>
      <c r="Q145" s="16"/>
      <c r="R145" s="52"/>
      <c r="S145" s="500"/>
      <c r="T145" s="52"/>
      <c r="U145" s="52"/>
    </row>
    <row r="146" spans="2:21" ht="7.5" customHeight="1" thickBot="1">
      <c r="B146" s="20"/>
      <c r="D146" s="362"/>
      <c r="G146" s="362"/>
      <c r="H146" s="362"/>
      <c r="I146" s="362"/>
      <c r="K146" s="777"/>
      <c r="L146" s="777"/>
      <c r="M146" s="777"/>
      <c r="Q146" s="16"/>
      <c r="R146" s="29"/>
      <c r="T146" s="29"/>
      <c r="U146" s="29"/>
    </row>
    <row r="147" spans="2:21" ht="15" thickBot="1" thickTop="1">
      <c r="B147" s="340" t="s">
        <v>168</v>
      </c>
      <c r="C147" s="341"/>
      <c r="D147" s="343">
        <f aca="true" t="shared" si="13" ref="D147:J147">D145-D137</f>
        <v>132904</v>
      </c>
      <c r="E147" s="343">
        <f t="shared" si="13"/>
        <v>0</v>
      </c>
      <c r="F147" s="343">
        <f t="shared" si="13"/>
        <v>112330</v>
      </c>
      <c r="G147" s="343">
        <f t="shared" si="13"/>
        <v>0</v>
      </c>
      <c r="H147" s="343">
        <f t="shared" si="13"/>
        <v>116302</v>
      </c>
      <c r="I147" s="343">
        <f t="shared" si="13"/>
        <v>162768</v>
      </c>
      <c r="J147" s="776">
        <f t="shared" si="13"/>
        <v>0</v>
      </c>
      <c r="K147" s="776">
        <f>K145-K137</f>
        <v>0</v>
      </c>
      <c r="L147" s="776">
        <f>L145-L137</f>
        <v>123037</v>
      </c>
      <c r="M147" s="776">
        <f>M145-M137</f>
        <v>0.48585142251273067</v>
      </c>
      <c r="Q147" s="16"/>
      <c r="R147" s="29"/>
      <c r="T147" s="29"/>
      <c r="U147" s="29"/>
    </row>
    <row r="148" spans="2:21" ht="14.25" thickTop="1">
      <c r="B148" s="20"/>
      <c r="G148" s="362"/>
      <c r="H148" s="362"/>
      <c r="I148" s="362"/>
      <c r="Q148" s="16"/>
      <c r="R148" s="29"/>
      <c r="T148" s="29"/>
      <c r="U148" s="29"/>
    </row>
    <row r="149" spans="2:21" ht="18" thickBot="1">
      <c r="B149" s="875" t="s">
        <v>15</v>
      </c>
      <c r="C149" s="875"/>
      <c r="D149" s="875"/>
      <c r="E149" s="875"/>
      <c r="F149" s="875"/>
      <c r="G149" s="875"/>
      <c r="H149" s="875"/>
      <c r="I149" s="875"/>
      <c r="J149" s="875"/>
      <c r="K149" s="875"/>
      <c r="L149" s="875"/>
      <c r="M149" s="875"/>
      <c r="N149" s="875"/>
      <c r="O149" s="875"/>
      <c r="Q149" s="16"/>
      <c r="R149" s="29"/>
      <c r="T149" s="29"/>
      <c r="U149" s="29"/>
    </row>
    <row r="150" spans="2:21" ht="27.75">
      <c r="B150" s="454" t="s">
        <v>0</v>
      </c>
      <c r="C150" s="93" t="s">
        <v>299</v>
      </c>
      <c r="D150" s="350" t="s">
        <v>137</v>
      </c>
      <c r="E150" s="93" t="s">
        <v>299</v>
      </c>
      <c r="F150" s="350" t="s">
        <v>137</v>
      </c>
      <c r="G150" s="93" t="s">
        <v>299</v>
      </c>
      <c r="H150" s="350" t="s">
        <v>338</v>
      </c>
      <c r="I150" s="350" t="s">
        <v>338</v>
      </c>
      <c r="J150" s="749" t="s">
        <v>411</v>
      </c>
      <c r="K150" s="749" t="s">
        <v>412</v>
      </c>
      <c r="L150" s="794" t="s">
        <v>414</v>
      </c>
      <c r="M150" s="181" t="s">
        <v>415</v>
      </c>
      <c r="N150" s="1"/>
      <c r="O150" s="41"/>
      <c r="P150" s="351" t="s">
        <v>136</v>
      </c>
      <c r="Q150" s="16"/>
      <c r="R150" s="29"/>
      <c r="T150" s="29"/>
      <c r="U150" s="29"/>
    </row>
    <row r="151" spans="2:21" ht="15.75" thickBot="1">
      <c r="B151" s="470"/>
      <c r="C151" s="539">
        <v>2015</v>
      </c>
      <c r="D151" s="353">
        <v>2015</v>
      </c>
      <c r="E151" s="540">
        <v>2016</v>
      </c>
      <c r="F151" s="540">
        <v>2016</v>
      </c>
      <c r="G151" s="353">
        <v>2017</v>
      </c>
      <c r="H151" s="418" t="s">
        <v>339</v>
      </c>
      <c r="I151" s="418" t="s">
        <v>359</v>
      </c>
      <c r="J151" s="395" t="s">
        <v>300</v>
      </c>
      <c r="K151" s="395" t="s">
        <v>300</v>
      </c>
      <c r="L151" s="863">
        <v>43252</v>
      </c>
      <c r="M151" s="182"/>
      <c r="N151" s="1"/>
      <c r="O151" s="41"/>
      <c r="P151" s="355"/>
      <c r="Q151" s="16"/>
      <c r="R151" s="29"/>
      <c r="T151" s="29"/>
      <c r="U151" s="29"/>
    </row>
    <row r="152" spans="2:21" ht="13.5">
      <c r="B152" s="471" t="s">
        <v>315</v>
      </c>
      <c r="C152" s="467">
        <v>95000</v>
      </c>
      <c r="D152" s="437">
        <v>47883</v>
      </c>
      <c r="E152" s="448">
        <v>60000</v>
      </c>
      <c r="F152" s="448">
        <v>42131</v>
      </c>
      <c r="G152" s="437">
        <v>60000</v>
      </c>
      <c r="H152" s="437">
        <v>33283</v>
      </c>
      <c r="I152" s="437">
        <v>37588</v>
      </c>
      <c r="J152" s="766">
        <v>60000</v>
      </c>
      <c r="K152" s="766">
        <v>60000</v>
      </c>
      <c r="L152" s="766">
        <v>22073</v>
      </c>
      <c r="M152" s="800">
        <f>L152/K152</f>
        <v>0.36788333333333334</v>
      </c>
      <c r="N152" s="31"/>
      <c r="O152" s="10"/>
      <c r="P152" s="356"/>
      <c r="Q152" s="16"/>
      <c r="R152" s="29"/>
      <c r="T152" s="29"/>
      <c r="U152" s="29"/>
    </row>
    <row r="153" spans="2:21" ht="13.5">
      <c r="B153" s="472" t="s">
        <v>314</v>
      </c>
      <c r="C153" s="468"/>
      <c r="D153" s="398">
        <v>2902</v>
      </c>
      <c r="E153" s="397">
        <v>5000</v>
      </c>
      <c r="F153" s="397">
        <v>4116</v>
      </c>
      <c r="G153" s="398">
        <v>5000</v>
      </c>
      <c r="H153" s="398">
        <v>1152</v>
      </c>
      <c r="I153" s="398">
        <v>1536</v>
      </c>
      <c r="J153" s="757">
        <v>5000</v>
      </c>
      <c r="K153" s="757">
        <v>5000</v>
      </c>
      <c r="L153" s="757">
        <v>1152</v>
      </c>
      <c r="M153" s="801">
        <f>L153/K153</f>
        <v>0.2304</v>
      </c>
      <c r="N153" s="31"/>
      <c r="O153" s="10"/>
      <c r="P153" s="357"/>
      <c r="Q153" s="16"/>
      <c r="R153" s="29"/>
      <c r="T153" s="29"/>
      <c r="U153" s="29"/>
    </row>
    <row r="154" spans="2:21" ht="13.5">
      <c r="B154" s="478" t="s">
        <v>313</v>
      </c>
      <c r="C154" s="479"/>
      <c r="D154" s="423">
        <v>13904</v>
      </c>
      <c r="E154" s="422">
        <v>30000</v>
      </c>
      <c r="F154" s="422">
        <v>12739</v>
      </c>
      <c r="G154" s="423">
        <v>20000</v>
      </c>
      <c r="H154" s="423">
        <v>7156</v>
      </c>
      <c r="I154" s="423">
        <v>7506</v>
      </c>
      <c r="J154" s="782">
        <v>20000</v>
      </c>
      <c r="K154" s="782">
        <v>20000</v>
      </c>
      <c r="L154" s="782">
        <v>5900</v>
      </c>
      <c r="M154" s="802">
        <f aca="true" t="shared" si="14" ref="M154:M164">L154/K154</f>
        <v>0.295</v>
      </c>
      <c r="N154" s="31"/>
      <c r="O154" s="10"/>
      <c r="P154" s="357"/>
      <c r="Q154" s="16"/>
      <c r="R154" s="29"/>
      <c r="T154" s="29"/>
      <c r="U154" s="29"/>
    </row>
    <row r="155" spans="2:21" ht="13.5">
      <c r="B155" s="476" t="s">
        <v>1</v>
      </c>
      <c r="C155" s="477">
        <v>25000</v>
      </c>
      <c r="D155" s="411">
        <v>800</v>
      </c>
      <c r="E155" s="410">
        <f>C155</f>
        <v>25000</v>
      </c>
      <c r="F155" s="410">
        <v>1990</v>
      </c>
      <c r="G155" s="411">
        <v>10000</v>
      </c>
      <c r="H155" s="411">
        <v>0</v>
      </c>
      <c r="I155" s="411"/>
      <c r="J155" s="754">
        <f>10000-5000</f>
        <v>5000</v>
      </c>
      <c r="K155" s="754">
        <f>10000-5000</f>
        <v>5000</v>
      </c>
      <c r="L155" s="754">
        <v>2481</v>
      </c>
      <c r="M155" s="800">
        <f t="shared" si="14"/>
        <v>0.4962</v>
      </c>
      <c r="N155" s="31"/>
      <c r="O155" s="10"/>
      <c r="P155" s="357"/>
      <c r="Q155" s="16"/>
      <c r="R155" s="29"/>
      <c r="T155" s="29"/>
      <c r="U155" s="29"/>
    </row>
    <row r="156" spans="2:21" ht="13.5">
      <c r="B156" s="473" t="s">
        <v>8</v>
      </c>
      <c r="C156" s="468">
        <v>36000</v>
      </c>
      <c r="D156" s="398">
        <v>39835</v>
      </c>
      <c r="E156" s="397">
        <f aca="true" t="shared" si="15" ref="E156:E163">C156</f>
        <v>36000</v>
      </c>
      <c r="F156" s="397">
        <v>80846</v>
      </c>
      <c r="G156" s="398">
        <v>50000</v>
      </c>
      <c r="H156" s="398">
        <v>5787</v>
      </c>
      <c r="I156" s="398">
        <v>6789</v>
      </c>
      <c r="J156" s="757">
        <v>50000</v>
      </c>
      <c r="K156" s="757">
        <v>50000</v>
      </c>
      <c r="L156" s="757">
        <v>-38322</v>
      </c>
      <c r="M156" s="801">
        <f t="shared" si="14"/>
        <v>-0.76644</v>
      </c>
      <c r="N156" s="31"/>
      <c r="O156" s="10"/>
      <c r="P156" s="357"/>
      <c r="Q156" s="16"/>
      <c r="R156" s="29"/>
      <c r="T156" s="29"/>
      <c r="U156" s="29"/>
    </row>
    <row r="157" spans="2:21" ht="13.5">
      <c r="B157" s="473" t="s">
        <v>9</v>
      </c>
      <c r="C157" s="468">
        <v>1000</v>
      </c>
      <c r="D157" s="398">
        <v>94</v>
      </c>
      <c r="E157" s="397">
        <f t="shared" si="15"/>
        <v>1000</v>
      </c>
      <c r="F157" s="397">
        <v>346</v>
      </c>
      <c r="G157" s="398">
        <v>15000</v>
      </c>
      <c r="H157" s="398">
        <v>201</v>
      </c>
      <c r="I157" s="399">
        <v>396</v>
      </c>
      <c r="J157" s="757">
        <f>15000-5000</f>
        <v>10000</v>
      </c>
      <c r="K157" s="757">
        <f>15000-5000</f>
        <v>10000</v>
      </c>
      <c r="L157" s="757">
        <v>0</v>
      </c>
      <c r="M157" s="801">
        <f t="shared" si="14"/>
        <v>0</v>
      </c>
      <c r="N157" s="31"/>
      <c r="O157" s="10"/>
      <c r="P157" s="357"/>
      <c r="Q157" s="16"/>
      <c r="R157" s="29"/>
      <c r="T157" s="29"/>
      <c r="U157" s="29"/>
    </row>
    <row r="158" spans="2:21" ht="13.5">
      <c r="B158" s="473" t="s">
        <v>16</v>
      </c>
      <c r="C158" s="468">
        <v>311000</v>
      </c>
      <c r="D158" s="398">
        <f>331542-68926+37020</f>
        <v>299636</v>
      </c>
      <c r="E158" s="397">
        <f t="shared" si="15"/>
        <v>311000</v>
      </c>
      <c r="F158" s="397">
        <v>140614</v>
      </c>
      <c r="G158" s="398">
        <v>250000</v>
      </c>
      <c r="H158" s="398">
        <v>17766</v>
      </c>
      <c r="I158" s="399">
        <v>34327</v>
      </c>
      <c r="J158" s="757">
        <f>250000-50000</f>
        <v>200000</v>
      </c>
      <c r="K158" s="757">
        <f>250000-50000</f>
        <v>200000</v>
      </c>
      <c r="L158" s="757">
        <f>71809-L160-L161-L162-L163</f>
        <v>25488</v>
      </c>
      <c r="M158" s="801">
        <f t="shared" si="14"/>
        <v>0.12744</v>
      </c>
      <c r="N158" s="31"/>
      <c r="O158" s="10"/>
      <c r="P158" s="357"/>
      <c r="Q158" s="124" t="s">
        <v>174</v>
      </c>
      <c r="R158" s="29"/>
      <c r="S158" s="516" t="s">
        <v>291</v>
      </c>
      <c r="T158" s="29"/>
      <c r="U158" s="29"/>
    </row>
    <row r="159" spans="2:21" ht="13.5" hidden="1">
      <c r="B159" s="473" t="s">
        <v>57</v>
      </c>
      <c r="C159" s="468">
        <v>2500</v>
      </c>
      <c r="D159" s="398">
        <v>2110</v>
      </c>
      <c r="E159" s="397">
        <f t="shared" si="15"/>
        <v>2500</v>
      </c>
      <c r="F159" s="397">
        <v>0</v>
      </c>
      <c r="G159" s="398"/>
      <c r="H159" s="398"/>
      <c r="I159" s="398"/>
      <c r="J159" s="757">
        <v>0</v>
      </c>
      <c r="K159" s="757">
        <v>0</v>
      </c>
      <c r="L159" s="757"/>
      <c r="M159" s="801" t="e">
        <f t="shared" si="14"/>
        <v>#DIV/0!</v>
      </c>
      <c r="N159" s="31"/>
      <c r="O159" s="10"/>
      <c r="P159" s="357"/>
      <c r="Q159" s="53"/>
      <c r="R159" s="29"/>
      <c r="T159" s="29"/>
      <c r="U159" s="29"/>
    </row>
    <row r="160" spans="1:21" ht="13.5">
      <c r="A160" s="124">
        <v>1315</v>
      </c>
      <c r="B160" s="473" t="s">
        <v>59</v>
      </c>
      <c r="C160" s="468">
        <v>25000</v>
      </c>
      <c r="D160" s="398">
        <v>30675</v>
      </c>
      <c r="E160" s="397">
        <f t="shared" si="15"/>
        <v>25000</v>
      </c>
      <c r="F160" s="397">
        <v>3754</v>
      </c>
      <c r="G160" s="398">
        <v>66000</v>
      </c>
      <c r="H160" s="398">
        <v>14826</v>
      </c>
      <c r="I160" s="399">
        <v>14826</v>
      </c>
      <c r="J160" s="757">
        <v>66000</v>
      </c>
      <c r="K160" s="757">
        <v>66000</v>
      </c>
      <c r="L160" s="757">
        <v>18400</v>
      </c>
      <c r="M160" s="801">
        <f t="shared" si="14"/>
        <v>0.2787878787878788</v>
      </c>
      <c r="N160" s="31"/>
      <c r="O160" s="10"/>
      <c r="P160" s="357"/>
      <c r="Q160" s="53">
        <f>J160</f>
        <v>66000</v>
      </c>
      <c r="R160" s="29"/>
      <c r="S160" s="515">
        <v>41000</v>
      </c>
      <c r="T160" s="29"/>
      <c r="U160" s="29"/>
    </row>
    <row r="161" spans="1:21" ht="13.5">
      <c r="A161" s="124">
        <v>1309</v>
      </c>
      <c r="B161" s="473" t="s">
        <v>223</v>
      </c>
      <c r="C161" s="468">
        <v>20000</v>
      </c>
      <c r="D161" s="398">
        <v>124373</v>
      </c>
      <c r="E161" s="397">
        <f t="shared" si="15"/>
        <v>20000</v>
      </c>
      <c r="F161" s="397">
        <v>127566</v>
      </c>
      <c r="G161" s="398">
        <v>135000</v>
      </c>
      <c r="H161" s="398">
        <v>38163</v>
      </c>
      <c r="I161" s="399">
        <v>55745</v>
      </c>
      <c r="J161" s="757">
        <v>135000</v>
      </c>
      <c r="K161" s="757">
        <v>135000</v>
      </c>
      <c r="L161" s="757">
        <v>27921</v>
      </c>
      <c r="M161" s="801">
        <f t="shared" si="14"/>
        <v>0.2068222222222222</v>
      </c>
      <c r="N161" s="31"/>
      <c r="O161" s="10"/>
      <c r="P161" s="357"/>
      <c r="Q161" s="53">
        <f>J161</f>
        <v>135000</v>
      </c>
      <c r="R161" s="29"/>
      <c r="S161" s="515">
        <v>95000</v>
      </c>
      <c r="T161" s="29"/>
      <c r="U161" s="29"/>
    </row>
    <row r="162" spans="1:21" ht="13.5">
      <c r="A162" s="124">
        <v>1327</v>
      </c>
      <c r="B162" s="473" t="s">
        <v>203</v>
      </c>
      <c r="C162" s="468">
        <v>15000</v>
      </c>
      <c r="D162" s="398">
        <v>14748</v>
      </c>
      <c r="E162" s="397">
        <f t="shared" si="15"/>
        <v>15000</v>
      </c>
      <c r="F162" s="397">
        <v>15574</v>
      </c>
      <c r="G162" s="398">
        <v>20000</v>
      </c>
      <c r="H162" s="398">
        <v>1005</v>
      </c>
      <c r="I162" s="399">
        <v>2797</v>
      </c>
      <c r="J162" s="757">
        <v>30000</v>
      </c>
      <c r="K162" s="757">
        <v>30000</v>
      </c>
      <c r="L162" s="757">
        <v>0</v>
      </c>
      <c r="M162" s="801">
        <f t="shared" si="14"/>
        <v>0</v>
      </c>
      <c r="N162" s="31"/>
      <c r="O162" s="10"/>
      <c r="P162" s="357"/>
      <c r="Q162" s="53">
        <f>J162</f>
        <v>30000</v>
      </c>
      <c r="R162" s="29"/>
      <c r="S162" s="515"/>
      <c r="T162" s="29"/>
      <c r="U162" s="29"/>
    </row>
    <row r="163" spans="1:21" ht="13.5">
      <c r="A163" s="124">
        <v>1317</v>
      </c>
      <c r="B163" s="473" t="s">
        <v>204</v>
      </c>
      <c r="C163" s="468">
        <v>30000</v>
      </c>
      <c r="D163" s="398"/>
      <c r="E163" s="397">
        <f t="shared" si="15"/>
        <v>30000</v>
      </c>
      <c r="F163" s="397">
        <v>39066</v>
      </c>
      <c r="G163" s="398">
        <v>32000</v>
      </c>
      <c r="H163" s="398">
        <v>0</v>
      </c>
      <c r="I163" s="399">
        <v>0</v>
      </c>
      <c r="J163" s="757">
        <v>32000</v>
      </c>
      <c r="K163" s="757">
        <v>32000</v>
      </c>
      <c r="L163" s="757">
        <v>0</v>
      </c>
      <c r="M163" s="801">
        <f t="shared" si="14"/>
        <v>0</v>
      </c>
      <c r="N163" s="31"/>
      <c r="O163" s="10"/>
      <c r="P163" s="357"/>
      <c r="Q163" s="53">
        <f>J163</f>
        <v>32000</v>
      </c>
      <c r="R163" s="29"/>
      <c r="S163" s="515">
        <v>12000</v>
      </c>
      <c r="T163" s="29"/>
      <c r="U163" s="29"/>
    </row>
    <row r="164" spans="2:21" ht="14.25" thickBot="1">
      <c r="B164" s="557" t="s">
        <v>10</v>
      </c>
      <c r="C164" s="558">
        <v>751129</v>
      </c>
      <c r="D164" s="551">
        <v>731469</v>
      </c>
      <c r="E164" s="552">
        <v>753477</v>
      </c>
      <c r="F164" s="552">
        <v>703845</v>
      </c>
      <c r="G164" s="551">
        <v>961688</v>
      </c>
      <c r="H164" s="551">
        <v>334787</v>
      </c>
      <c r="I164" s="551">
        <v>418880</v>
      </c>
      <c r="J164" s="779">
        <v>1131691</v>
      </c>
      <c r="K164" s="779">
        <v>1131691</v>
      </c>
      <c r="L164" s="779">
        <v>524031</v>
      </c>
      <c r="M164" s="822">
        <f t="shared" si="14"/>
        <v>0.46305130994237825</v>
      </c>
      <c r="N164" s="31"/>
      <c r="O164" s="10"/>
      <c r="P164" s="359"/>
      <c r="Q164" s="16"/>
      <c r="R164" s="29"/>
      <c r="S164" s="515"/>
      <c r="T164" s="29"/>
      <c r="U164" s="29"/>
    </row>
    <row r="165" spans="1:21" s="11" customFormat="1" ht="14.25" thickBot="1">
      <c r="A165" s="124"/>
      <c r="B165" s="475" t="s">
        <v>2</v>
      </c>
      <c r="C165" s="331">
        <f aca="true" t="shared" si="16" ref="C165:J165">SUM(C152:C164)</f>
        <v>1311629</v>
      </c>
      <c r="D165" s="365">
        <f t="shared" si="16"/>
        <v>1308429</v>
      </c>
      <c r="E165" s="77">
        <f t="shared" si="16"/>
        <v>1313977</v>
      </c>
      <c r="F165" s="77">
        <f t="shared" si="16"/>
        <v>1172587</v>
      </c>
      <c r="G165" s="365">
        <f t="shared" si="16"/>
        <v>1624688</v>
      </c>
      <c r="H165" s="365">
        <f t="shared" si="16"/>
        <v>454126</v>
      </c>
      <c r="I165" s="365">
        <f t="shared" si="16"/>
        <v>580390</v>
      </c>
      <c r="J165" s="783">
        <f t="shared" si="16"/>
        <v>1744691</v>
      </c>
      <c r="K165" s="783">
        <f>SUM(K152:K164)</f>
        <v>1744691</v>
      </c>
      <c r="L165" s="783">
        <f>SUM(L152:L164)</f>
        <v>589124</v>
      </c>
      <c r="M165" s="780"/>
      <c r="N165" s="51"/>
      <c r="O165" s="83"/>
      <c r="P165" s="124"/>
      <c r="Q165" s="511">
        <f>SUM(Q159:Q164)</f>
        <v>263000</v>
      </c>
      <c r="R165" s="52"/>
      <c r="S165" s="519">
        <f>SUM(S160:S164)</f>
        <v>148000</v>
      </c>
      <c r="T165" s="52"/>
      <c r="U165" s="52"/>
    </row>
    <row r="166" spans="2:21" ht="15.75" thickBot="1">
      <c r="B166" s="21"/>
      <c r="C166" s="23"/>
      <c r="D166" s="23"/>
      <c r="E166" s="22"/>
      <c r="F166" s="22"/>
      <c r="G166" s="362"/>
      <c r="H166" s="362"/>
      <c r="I166" s="362"/>
      <c r="K166" s="777"/>
      <c r="L166" s="777"/>
      <c r="M166" s="777"/>
      <c r="N166" s="31"/>
      <c r="O166" s="10"/>
      <c r="Q166" s="29"/>
      <c r="R166" s="29"/>
      <c r="T166" s="29"/>
      <c r="U166" s="29"/>
    </row>
    <row r="167" spans="2:21" ht="15.75" thickBot="1">
      <c r="B167" s="24" t="s">
        <v>3</v>
      </c>
      <c r="C167" s="23"/>
      <c r="D167" s="23"/>
      <c r="E167" s="22"/>
      <c r="F167" s="22"/>
      <c r="G167" s="362"/>
      <c r="H167" s="362"/>
      <c r="I167" s="362"/>
      <c r="K167" s="777"/>
      <c r="L167" s="777"/>
      <c r="M167" s="777"/>
      <c r="N167" s="31"/>
      <c r="O167" s="10"/>
      <c r="Q167" s="135"/>
      <c r="R167" s="29"/>
      <c r="T167" s="29"/>
      <c r="U167" s="29"/>
    </row>
    <row r="168" spans="2:21" ht="13.5">
      <c r="B168" s="471" t="s">
        <v>11</v>
      </c>
      <c r="C168" s="467">
        <v>265000</v>
      </c>
      <c r="D168" s="437">
        <v>421110</v>
      </c>
      <c r="E168" s="448">
        <f>C168</f>
        <v>265000</v>
      </c>
      <c r="F168" s="448">
        <v>272081</v>
      </c>
      <c r="G168" s="437">
        <v>345000</v>
      </c>
      <c r="H168" s="437">
        <v>73907</v>
      </c>
      <c r="I168" s="596">
        <v>102187</v>
      </c>
      <c r="J168" s="766">
        <v>380000</v>
      </c>
      <c r="K168" s="766">
        <v>380000</v>
      </c>
      <c r="L168" s="766">
        <v>77145</v>
      </c>
      <c r="M168" s="813">
        <f>L168/K168</f>
        <v>0.20301315789473684</v>
      </c>
      <c r="N168" s="31"/>
      <c r="O168" s="10"/>
      <c r="P168" s="356"/>
      <c r="Q168" s="29"/>
      <c r="R168" s="16" t="s">
        <v>263</v>
      </c>
      <c r="T168" s="29"/>
      <c r="U168" s="29"/>
    </row>
    <row r="169" spans="2:21" ht="13.5" hidden="1">
      <c r="B169" s="476" t="s">
        <v>227</v>
      </c>
      <c r="C169" s="477"/>
      <c r="D169" s="411"/>
      <c r="E169" s="410"/>
      <c r="F169" s="410"/>
      <c r="G169" s="411"/>
      <c r="H169" s="411"/>
      <c r="I169" s="412"/>
      <c r="J169" s="754"/>
      <c r="K169" s="754"/>
      <c r="L169" s="754"/>
      <c r="M169" s="814" t="e">
        <f>L169/K169</f>
        <v>#DIV/0!</v>
      </c>
      <c r="N169" s="31"/>
      <c r="O169" s="10"/>
      <c r="P169" s="414"/>
      <c r="Q169" s="29"/>
      <c r="R169" s="29"/>
      <c r="T169" s="29"/>
      <c r="U169" s="29"/>
    </row>
    <row r="170" spans="2:21" ht="13.5">
      <c r="B170" s="476" t="s">
        <v>12</v>
      </c>
      <c r="C170" s="477"/>
      <c r="D170" s="411"/>
      <c r="E170" s="410"/>
      <c r="F170" s="410">
        <v>27276</v>
      </c>
      <c r="G170" s="411"/>
      <c r="H170" s="411"/>
      <c r="I170" s="412"/>
      <c r="J170" s="754"/>
      <c r="K170" s="754"/>
      <c r="L170" s="754"/>
      <c r="M170" s="818"/>
      <c r="N170" s="31"/>
      <c r="O170" s="10"/>
      <c r="P170" s="414"/>
      <c r="Q170" s="29"/>
      <c r="R170" s="29"/>
      <c r="T170" s="29"/>
      <c r="U170" s="29"/>
    </row>
    <row r="171" spans="2:21" ht="13.5">
      <c r="B171" s="559" t="s">
        <v>4</v>
      </c>
      <c r="C171" s="560">
        <v>954129</v>
      </c>
      <c r="D171" s="543">
        <v>899000</v>
      </c>
      <c r="E171" s="544">
        <v>956477</v>
      </c>
      <c r="F171" s="544">
        <v>956477</v>
      </c>
      <c r="G171" s="543">
        <v>1174688</v>
      </c>
      <c r="H171" s="543">
        <v>470951</v>
      </c>
      <c r="I171" s="543">
        <v>565142</v>
      </c>
      <c r="J171" s="767">
        <v>1249691</v>
      </c>
      <c r="K171" s="767">
        <v>1249691</v>
      </c>
      <c r="L171" s="767">
        <v>657344</v>
      </c>
      <c r="M171" s="815">
        <f>L171/K171</f>
        <v>0.5260052284924833</v>
      </c>
      <c r="N171" s="31"/>
      <c r="O171" s="10"/>
      <c r="P171" s="357"/>
      <c r="Q171" s="29"/>
      <c r="R171" s="29"/>
      <c r="T171" s="29"/>
      <c r="U171" s="29"/>
    </row>
    <row r="172" spans="2:21" ht="12.75" hidden="1">
      <c r="B172" s="574" t="s">
        <v>60</v>
      </c>
      <c r="C172" s="575">
        <v>2500</v>
      </c>
      <c r="D172" s="565">
        <v>2500</v>
      </c>
      <c r="E172" s="566">
        <f>C172</f>
        <v>2500</v>
      </c>
      <c r="F172" s="566">
        <v>2500</v>
      </c>
      <c r="G172" s="399"/>
      <c r="H172" s="399"/>
      <c r="I172" s="399"/>
      <c r="J172" s="770"/>
      <c r="K172" s="770"/>
      <c r="L172" s="770"/>
      <c r="M172" s="816"/>
      <c r="N172" s="31"/>
      <c r="O172" s="10"/>
      <c r="P172" s="357"/>
      <c r="Q172" s="29"/>
      <c r="R172" s="29"/>
      <c r="T172" s="29"/>
      <c r="U172" s="29"/>
    </row>
    <row r="173" spans="2:21" ht="13.5">
      <c r="B173" s="574" t="s">
        <v>329</v>
      </c>
      <c r="C173" s="575">
        <v>20000</v>
      </c>
      <c r="D173" s="565">
        <v>20000</v>
      </c>
      <c r="E173" s="566">
        <f>C173</f>
        <v>20000</v>
      </c>
      <c r="F173" s="566">
        <v>20000</v>
      </c>
      <c r="G173" s="565">
        <v>40000</v>
      </c>
      <c r="H173" s="565"/>
      <c r="I173" s="565">
        <v>28000</v>
      </c>
      <c r="J173" s="771">
        <v>40000</v>
      </c>
      <c r="K173" s="771">
        <v>40000</v>
      </c>
      <c r="L173" s="771">
        <v>10000</v>
      </c>
      <c r="M173" s="810">
        <f>L173/K173</f>
        <v>0.25</v>
      </c>
      <c r="N173" s="31"/>
      <c r="O173" s="10"/>
      <c r="P173" s="357"/>
      <c r="Q173" s="29"/>
      <c r="R173" s="16">
        <f>J173</f>
        <v>40000</v>
      </c>
      <c r="T173" s="29"/>
      <c r="U173" s="29"/>
    </row>
    <row r="174" spans="2:21" ht="13.5">
      <c r="B174" s="574" t="s">
        <v>330</v>
      </c>
      <c r="C174" s="575">
        <v>25000</v>
      </c>
      <c r="D174" s="565">
        <v>25000</v>
      </c>
      <c r="E174" s="566">
        <f>C174</f>
        <v>25000</v>
      </c>
      <c r="F174" s="566">
        <v>25000</v>
      </c>
      <c r="G174" s="565">
        <v>25000</v>
      </c>
      <c r="H174" s="565"/>
      <c r="I174" s="565"/>
      <c r="J174" s="771">
        <v>25000</v>
      </c>
      <c r="K174" s="771">
        <v>25000</v>
      </c>
      <c r="L174" s="771">
        <v>25000</v>
      </c>
      <c r="M174" s="810">
        <f>L174/K174</f>
        <v>1</v>
      </c>
      <c r="N174" s="31"/>
      <c r="O174" s="10"/>
      <c r="P174" s="357"/>
      <c r="Q174" s="29"/>
      <c r="R174" s="16">
        <f>J174</f>
        <v>25000</v>
      </c>
      <c r="T174" s="29"/>
      <c r="U174" s="29"/>
    </row>
    <row r="175" spans="2:21" ht="13.5" hidden="1">
      <c r="B175" s="574" t="s">
        <v>205</v>
      </c>
      <c r="C175" s="575"/>
      <c r="D175" s="565">
        <v>80000</v>
      </c>
      <c r="E175" s="439"/>
      <c r="F175" s="439"/>
      <c r="G175" s="399"/>
      <c r="H175" s="399"/>
      <c r="I175" s="399"/>
      <c r="J175" s="770"/>
      <c r="K175" s="770"/>
      <c r="L175" s="770"/>
      <c r="M175" s="810" t="e">
        <f>L175/K175</f>
        <v>#DIV/0!</v>
      </c>
      <c r="N175" s="31"/>
      <c r="O175" s="10"/>
      <c r="P175" s="357"/>
      <c r="Q175" s="29"/>
      <c r="R175" s="16"/>
      <c r="T175" s="29"/>
      <c r="U175" s="29"/>
    </row>
    <row r="176" spans="2:21" ht="13.5">
      <c r="B176" s="574" t="s">
        <v>331</v>
      </c>
      <c r="C176" s="575">
        <v>15000</v>
      </c>
      <c r="D176" s="565" t="s">
        <v>207</v>
      </c>
      <c r="E176" s="566">
        <f>C176</f>
        <v>15000</v>
      </c>
      <c r="F176" s="566">
        <v>15000</v>
      </c>
      <c r="G176" s="565">
        <v>20000</v>
      </c>
      <c r="H176" s="565"/>
      <c r="I176" s="565"/>
      <c r="J176" s="771">
        <v>30000</v>
      </c>
      <c r="K176" s="771">
        <v>30000</v>
      </c>
      <c r="L176" s="771">
        <v>0</v>
      </c>
      <c r="M176" s="810">
        <f>L176/K176</f>
        <v>0</v>
      </c>
      <c r="N176" s="31"/>
      <c r="O176" s="10"/>
      <c r="P176" s="357"/>
      <c r="Q176" s="29"/>
      <c r="R176" s="16">
        <f>J176</f>
        <v>30000</v>
      </c>
      <c r="T176" s="29"/>
      <c r="U176" s="29"/>
    </row>
    <row r="177" spans="2:21" ht="14.25" thickBot="1">
      <c r="B177" s="572" t="s">
        <v>332</v>
      </c>
      <c r="C177" s="573">
        <v>30000</v>
      </c>
      <c r="D177" s="565"/>
      <c r="E177" s="566">
        <f>C177</f>
        <v>30000</v>
      </c>
      <c r="F177" s="566">
        <v>30000</v>
      </c>
      <c r="G177" s="565">
        <v>20000</v>
      </c>
      <c r="H177" s="565"/>
      <c r="I177" s="565"/>
      <c r="J177" s="771">
        <v>20000</v>
      </c>
      <c r="K177" s="771">
        <v>20000</v>
      </c>
      <c r="L177" s="771">
        <v>0</v>
      </c>
      <c r="M177" s="817">
        <f>L177/K177</f>
        <v>0</v>
      </c>
      <c r="N177" s="31"/>
      <c r="O177" s="10"/>
      <c r="P177" s="359"/>
      <c r="Q177" s="29"/>
      <c r="R177" s="16">
        <f>J177</f>
        <v>20000</v>
      </c>
      <c r="T177" s="29"/>
      <c r="U177" s="29"/>
    </row>
    <row r="178" spans="2:21" ht="14.25" hidden="1" thickBot="1">
      <c r="B178" s="523" t="s">
        <v>209</v>
      </c>
      <c r="C178" s="524"/>
      <c r="D178" s="408">
        <v>12500</v>
      </c>
      <c r="E178" s="482"/>
      <c r="F178" s="482"/>
      <c r="G178" s="408"/>
      <c r="H178" s="408"/>
      <c r="I178" s="408"/>
      <c r="J178" s="761"/>
      <c r="K178" s="761"/>
      <c r="L178" s="761"/>
      <c r="M178" s="812"/>
      <c r="N178" s="31"/>
      <c r="O178" s="10"/>
      <c r="P178" s="355"/>
      <c r="T178" s="29"/>
      <c r="U178" s="29"/>
    </row>
    <row r="179" spans="1:21" s="11" customFormat="1" ht="14.25" thickBot="1">
      <c r="A179" s="124"/>
      <c r="B179" s="490" t="s">
        <v>5</v>
      </c>
      <c r="C179" s="173">
        <f aca="true" t="shared" si="17" ref="C179:J179">SUM(C168:C178)</f>
        <v>1311629</v>
      </c>
      <c r="D179" s="360">
        <f t="shared" si="17"/>
        <v>1460110</v>
      </c>
      <c r="E179" s="149">
        <f t="shared" si="17"/>
        <v>1313977</v>
      </c>
      <c r="F179" s="149">
        <f t="shared" si="17"/>
        <v>1348334</v>
      </c>
      <c r="G179" s="360">
        <f t="shared" si="17"/>
        <v>1624688</v>
      </c>
      <c r="H179" s="360">
        <f t="shared" si="17"/>
        <v>544858</v>
      </c>
      <c r="I179" s="360">
        <f t="shared" si="17"/>
        <v>695329</v>
      </c>
      <c r="J179" s="774">
        <f t="shared" si="17"/>
        <v>1744691</v>
      </c>
      <c r="K179" s="774">
        <f>SUM(K168:K178)</f>
        <v>1744691</v>
      </c>
      <c r="L179" s="774">
        <f>SUM(L168:L178)</f>
        <v>769489</v>
      </c>
      <c r="M179" s="774"/>
      <c r="N179" s="51"/>
      <c r="O179" s="83"/>
      <c r="P179" s="124"/>
      <c r="R179" s="510">
        <f>SUM(R173:R178)</f>
        <v>115000</v>
      </c>
      <c r="S179" s="500"/>
      <c r="T179" s="52"/>
      <c r="U179" s="52"/>
    </row>
    <row r="180" spans="1:21" s="11" customFormat="1" ht="9" customHeight="1" thickBot="1">
      <c r="A180" s="124"/>
      <c r="B180" s="137"/>
      <c r="C180" s="51"/>
      <c r="D180" s="51"/>
      <c r="E180" s="5"/>
      <c r="F180" s="5"/>
      <c r="G180" s="367"/>
      <c r="H180" s="367"/>
      <c r="I180" s="367"/>
      <c r="J180" s="609"/>
      <c r="K180" s="609"/>
      <c r="L180" s="609"/>
      <c r="M180" s="609"/>
      <c r="N180" s="51"/>
      <c r="O180" s="83"/>
      <c r="P180" s="124"/>
      <c r="S180" s="500"/>
      <c r="T180" s="52"/>
      <c r="U180" s="52"/>
    </row>
    <row r="181" spans="1:21" s="11" customFormat="1" ht="15" thickBot="1" thickTop="1">
      <c r="A181" s="124"/>
      <c r="B181" s="340" t="s">
        <v>169</v>
      </c>
      <c r="C181" s="341"/>
      <c r="D181" s="343">
        <f aca="true" t="shared" si="18" ref="D181:J181">D179-D165</f>
        <v>151681</v>
      </c>
      <c r="E181" s="343">
        <f t="shared" si="18"/>
        <v>0</v>
      </c>
      <c r="F181" s="343">
        <f t="shared" si="18"/>
        <v>175747</v>
      </c>
      <c r="G181" s="343">
        <f t="shared" si="18"/>
        <v>0</v>
      </c>
      <c r="H181" s="343">
        <f t="shared" si="18"/>
        <v>90732</v>
      </c>
      <c r="I181" s="343">
        <f t="shared" si="18"/>
        <v>114939</v>
      </c>
      <c r="J181" s="776">
        <f t="shared" si="18"/>
        <v>0</v>
      </c>
      <c r="K181" s="776">
        <f>K179-K165</f>
        <v>0</v>
      </c>
      <c r="L181" s="776">
        <f>L179-L165</f>
        <v>180365</v>
      </c>
      <c r="M181" s="776"/>
      <c r="N181" s="51"/>
      <c r="O181" s="83"/>
      <c r="P181" s="124"/>
      <c r="S181" s="500"/>
      <c r="T181" s="52"/>
      <c r="U181" s="52"/>
    </row>
    <row r="182" spans="1:21" s="11" customFormat="1" ht="14.25" thickTop="1">
      <c r="A182" s="124"/>
      <c r="B182" s="137"/>
      <c r="C182" s="51"/>
      <c r="D182" s="51"/>
      <c r="E182" s="5"/>
      <c r="F182" s="5"/>
      <c r="G182" s="367"/>
      <c r="H182" s="367"/>
      <c r="I182" s="367"/>
      <c r="J182" s="609"/>
      <c r="K182" s="85"/>
      <c r="L182" s="85"/>
      <c r="M182" s="85"/>
      <c r="N182" s="51"/>
      <c r="O182" s="83"/>
      <c r="P182" s="124"/>
      <c r="S182" s="500"/>
      <c r="T182" s="52"/>
      <c r="U182" s="52"/>
    </row>
    <row r="183" spans="1:21" s="6" customFormat="1" ht="18" thickBot="1">
      <c r="A183" s="63"/>
      <c r="B183" s="875" t="s">
        <v>62</v>
      </c>
      <c r="C183" s="875"/>
      <c r="D183" s="875"/>
      <c r="E183" s="875"/>
      <c r="F183" s="875"/>
      <c r="G183" s="875"/>
      <c r="H183" s="875"/>
      <c r="I183" s="875"/>
      <c r="J183" s="875"/>
      <c r="K183" s="875"/>
      <c r="L183" s="875"/>
      <c r="M183" s="875"/>
      <c r="N183" s="875"/>
      <c r="O183" s="875"/>
      <c r="P183" s="63"/>
      <c r="S183" s="7"/>
      <c r="T183" s="25"/>
      <c r="U183" s="25"/>
    </row>
    <row r="184" spans="1:19" s="25" customFormat="1" ht="27.75">
      <c r="A184" s="68"/>
      <c r="B184" s="454" t="s">
        <v>0</v>
      </c>
      <c r="C184" s="93" t="s">
        <v>299</v>
      </c>
      <c r="D184" s="350" t="s">
        <v>137</v>
      </c>
      <c r="E184" s="93" t="s">
        <v>299</v>
      </c>
      <c r="F184" s="350" t="s">
        <v>137</v>
      </c>
      <c r="G184" s="93" t="s">
        <v>299</v>
      </c>
      <c r="H184" s="350" t="s">
        <v>338</v>
      </c>
      <c r="I184" s="350" t="s">
        <v>338</v>
      </c>
      <c r="J184" s="749" t="s">
        <v>411</v>
      </c>
      <c r="K184" s="749" t="s">
        <v>412</v>
      </c>
      <c r="L184" s="794" t="s">
        <v>414</v>
      </c>
      <c r="M184" s="181" t="s">
        <v>415</v>
      </c>
      <c r="N184" s="1"/>
      <c r="O184" s="41"/>
      <c r="P184" s="351" t="s">
        <v>136</v>
      </c>
      <c r="S184" s="57"/>
    </row>
    <row r="185" spans="1:19" s="25" customFormat="1" ht="15.75" thickBot="1">
      <c r="A185" s="68"/>
      <c r="B185" s="455"/>
      <c r="C185" s="539">
        <v>2015</v>
      </c>
      <c r="D185" s="353">
        <v>2015</v>
      </c>
      <c r="E185" s="540">
        <v>2016</v>
      </c>
      <c r="F185" s="540">
        <v>2016</v>
      </c>
      <c r="G185" s="353">
        <v>2017</v>
      </c>
      <c r="H185" s="418" t="s">
        <v>339</v>
      </c>
      <c r="I185" s="418" t="s">
        <v>359</v>
      </c>
      <c r="J185" s="395" t="s">
        <v>300</v>
      </c>
      <c r="K185" s="395" t="s">
        <v>300</v>
      </c>
      <c r="L185" s="863">
        <v>43252</v>
      </c>
      <c r="M185" s="182"/>
      <c r="N185" s="1"/>
      <c r="O185" s="41"/>
      <c r="P185" s="355"/>
      <c r="S185" s="57"/>
    </row>
    <row r="186" spans="1:19" s="25" customFormat="1" ht="13.5">
      <c r="A186" s="68"/>
      <c r="B186" s="476" t="s">
        <v>1</v>
      </c>
      <c r="C186" s="477">
        <v>10000</v>
      </c>
      <c r="D186" s="411">
        <v>0</v>
      </c>
      <c r="E186" s="410">
        <f>C186</f>
        <v>10000</v>
      </c>
      <c r="F186" s="410">
        <v>0</v>
      </c>
      <c r="G186" s="411">
        <v>5000</v>
      </c>
      <c r="H186" s="411">
        <v>0</v>
      </c>
      <c r="I186" s="411"/>
      <c r="J186" s="754">
        <v>5000</v>
      </c>
      <c r="K186" s="754">
        <v>5000</v>
      </c>
      <c r="L186" s="754">
        <v>0</v>
      </c>
      <c r="M186" s="813">
        <f>L186/K186</f>
        <v>0</v>
      </c>
      <c r="N186" s="31"/>
      <c r="O186" s="10"/>
      <c r="P186" s="374"/>
      <c r="S186" s="57"/>
    </row>
    <row r="187" spans="1:19" s="25" customFormat="1" ht="13.5">
      <c r="A187" s="68"/>
      <c r="B187" s="473" t="s">
        <v>8</v>
      </c>
      <c r="C187" s="468">
        <v>40000</v>
      </c>
      <c r="D187" s="398">
        <v>12723</v>
      </c>
      <c r="E187" s="397">
        <f>C187</f>
        <v>40000</v>
      </c>
      <c r="F187" s="397">
        <v>71068</v>
      </c>
      <c r="G187" s="398">
        <v>20000</v>
      </c>
      <c r="H187" s="398">
        <v>12003</v>
      </c>
      <c r="I187" s="398">
        <v>1728</v>
      </c>
      <c r="J187" s="757">
        <v>20000</v>
      </c>
      <c r="K187" s="757">
        <v>20000</v>
      </c>
      <c r="L187" s="757">
        <f>13992-12732</f>
        <v>1260</v>
      </c>
      <c r="M187" s="814">
        <f>L187/K187</f>
        <v>0.063</v>
      </c>
      <c r="N187" s="31"/>
      <c r="O187" s="10"/>
      <c r="P187" s="375"/>
      <c r="S187" s="57"/>
    </row>
    <row r="188" spans="1:19" s="25" customFormat="1" ht="13.5">
      <c r="A188" s="68"/>
      <c r="B188" s="473" t="s">
        <v>9</v>
      </c>
      <c r="C188" s="468">
        <v>1000</v>
      </c>
      <c r="D188" s="398">
        <v>115</v>
      </c>
      <c r="E188" s="397">
        <f>C188</f>
        <v>1000</v>
      </c>
      <c r="F188" s="397">
        <v>64</v>
      </c>
      <c r="G188" s="398">
        <v>5000</v>
      </c>
      <c r="H188" s="398">
        <v>3630</v>
      </c>
      <c r="I188" s="398">
        <v>3630</v>
      </c>
      <c r="J188" s="757">
        <v>5000</v>
      </c>
      <c r="K188" s="757">
        <v>5000</v>
      </c>
      <c r="L188" s="757">
        <v>0</v>
      </c>
      <c r="M188" s="814">
        <f aca="true" t="shared" si="19" ref="M188:M193">L188/K188</f>
        <v>0</v>
      </c>
      <c r="N188" s="31"/>
      <c r="O188" s="10"/>
      <c r="P188" s="375"/>
      <c r="S188" s="57"/>
    </row>
    <row r="189" spans="1:19" s="25" customFormat="1" ht="13.5">
      <c r="A189" s="68"/>
      <c r="B189" s="473" t="s">
        <v>16</v>
      </c>
      <c r="C189" s="468">
        <v>95000</v>
      </c>
      <c r="D189" s="398"/>
      <c r="E189" s="397">
        <f>C189</f>
        <v>95000</v>
      </c>
      <c r="F189" s="397">
        <v>3014</v>
      </c>
      <c r="G189" s="398">
        <v>22000</v>
      </c>
      <c r="H189" s="398">
        <v>3988</v>
      </c>
      <c r="I189" s="398">
        <v>6086</v>
      </c>
      <c r="J189" s="757">
        <f>22000-2000</f>
        <v>20000</v>
      </c>
      <c r="K189" s="757">
        <f>22000-2000</f>
        <v>20000</v>
      </c>
      <c r="L189" s="757">
        <f>137943-L191-L192-L193+12732</f>
        <v>10261</v>
      </c>
      <c r="M189" s="814">
        <f t="shared" si="19"/>
        <v>0.51305</v>
      </c>
      <c r="N189" s="31"/>
      <c r="O189" s="10"/>
      <c r="P189" s="375"/>
      <c r="S189" s="57"/>
    </row>
    <row r="190" spans="1:19" s="25" customFormat="1" ht="13.5">
      <c r="A190" s="68"/>
      <c r="B190" s="561" t="s">
        <v>10</v>
      </c>
      <c r="C190" s="562">
        <v>612871</v>
      </c>
      <c r="D190" s="547">
        <v>618557</v>
      </c>
      <c r="E190" s="548">
        <v>615136</v>
      </c>
      <c r="F190" s="548">
        <v>562379</v>
      </c>
      <c r="G190" s="547">
        <v>846137</v>
      </c>
      <c r="H190" s="547">
        <v>342381</v>
      </c>
      <c r="I190" s="547">
        <v>413867</v>
      </c>
      <c r="J190" s="784">
        <v>1108312</v>
      </c>
      <c r="K190" s="784">
        <v>1108312</v>
      </c>
      <c r="L190" s="784">
        <v>476726</v>
      </c>
      <c r="M190" s="820">
        <f t="shared" si="19"/>
        <v>0.43013700113325487</v>
      </c>
      <c r="N190" s="31"/>
      <c r="O190" s="10"/>
      <c r="P190" s="357"/>
      <c r="Q190" s="124" t="s">
        <v>174</v>
      </c>
      <c r="S190" s="57"/>
    </row>
    <row r="191" spans="1:19" s="25" customFormat="1" ht="13.5">
      <c r="A191" s="68">
        <v>1351</v>
      </c>
      <c r="B191" s="473" t="s">
        <v>65</v>
      </c>
      <c r="C191" s="468">
        <v>90000</v>
      </c>
      <c r="D191" s="398">
        <v>70399</v>
      </c>
      <c r="E191" s="397">
        <f>C191</f>
        <v>90000</v>
      </c>
      <c r="F191" s="397">
        <v>85637</v>
      </c>
      <c r="G191" s="398">
        <v>90000</v>
      </c>
      <c r="H191" s="398">
        <v>8800</v>
      </c>
      <c r="I191" s="398">
        <v>8800</v>
      </c>
      <c r="J191" s="757">
        <v>80000</v>
      </c>
      <c r="K191" s="757">
        <v>80000</v>
      </c>
      <c r="L191" s="757">
        <v>46326</v>
      </c>
      <c r="M191" s="814">
        <f t="shared" si="19"/>
        <v>0.579075</v>
      </c>
      <c r="N191" s="31"/>
      <c r="O191" s="10"/>
      <c r="P191" s="357"/>
      <c r="Q191" s="57">
        <f>J191</f>
        <v>80000</v>
      </c>
      <c r="S191" s="57"/>
    </row>
    <row r="192" spans="1:19" s="25" customFormat="1" ht="13.5">
      <c r="A192" s="68">
        <v>1350</v>
      </c>
      <c r="B192" s="473" t="s">
        <v>210</v>
      </c>
      <c r="C192" s="468">
        <v>30000</v>
      </c>
      <c r="D192" s="398">
        <v>16000</v>
      </c>
      <c r="E192" s="397">
        <f>C192</f>
        <v>30000</v>
      </c>
      <c r="F192" s="397">
        <v>23774</v>
      </c>
      <c r="G192" s="398">
        <v>30000</v>
      </c>
      <c r="H192" s="398">
        <v>16444</v>
      </c>
      <c r="I192" s="398">
        <v>16444</v>
      </c>
      <c r="J192" s="757">
        <v>30000</v>
      </c>
      <c r="K192" s="757">
        <v>30000</v>
      </c>
      <c r="L192" s="757">
        <v>7283</v>
      </c>
      <c r="M192" s="814">
        <f t="shared" si="19"/>
        <v>0.24276666666666666</v>
      </c>
      <c r="N192" s="31"/>
      <c r="O192" s="10"/>
      <c r="P192" s="357"/>
      <c r="Q192" s="57">
        <f>C192</f>
        <v>30000</v>
      </c>
      <c r="S192" s="57"/>
    </row>
    <row r="193" spans="1:19" s="25" customFormat="1" ht="14.25" thickBot="1">
      <c r="A193" s="68">
        <v>1352</v>
      </c>
      <c r="B193" s="493" t="s">
        <v>63</v>
      </c>
      <c r="C193" s="479">
        <v>260000</v>
      </c>
      <c r="D193" s="492">
        <v>110000</v>
      </c>
      <c r="E193" s="422">
        <f>C193</f>
        <v>260000</v>
      </c>
      <c r="F193" s="538">
        <v>236919</v>
      </c>
      <c r="G193" s="492">
        <v>200000</v>
      </c>
      <c r="H193" s="492">
        <v>49530</v>
      </c>
      <c r="I193" s="492">
        <v>62482</v>
      </c>
      <c r="J193" s="782">
        <v>180000</v>
      </c>
      <c r="K193" s="782">
        <v>180000</v>
      </c>
      <c r="L193" s="782">
        <v>86805</v>
      </c>
      <c r="M193" s="819">
        <f t="shared" si="19"/>
        <v>0.48225</v>
      </c>
      <c r="N193" s="31"/>
      <c r="O193" s="10"/>
      <c r="P193" s="359"/>
      <c r="Q193" s="57">
        <f>J193</f>
        <v>180000</v>
      </c>
      <c r="S193" s="57"/>
    </row>
    <row r="194" spans="1:19" s="25" customFormat="1" ht="14.25" thickBot="1">
      <c r="A194" s="68"/>
      <c r="B194" s="475" t="s">
        <v>2</v>
      </c>
      <c r="C194" s="173">
        <f aca="true" t="shared" si="20" ref="C194:J194">SUM(C186:C193)</f>
        <v>1138871</v>
      </c>
      <c r="D194" s="360">
        <f t="shared" si="20"/>
        <v>827794</v>
      </c>
      <c r="E194" s="149">
        <f t="shared" si="20"/>
        <v>1141136</v>
      </c>
      <c r="F194" s="149">
        <f t="shared" si="20"/>
        <v>982855</v>
      </c>
      <c r="G194" s="360">
        <f t="shared" si="20"/>
        <v>1218137</v>
      </c>
      <c r="H194" s="360">
        <f t="shared" si="20"/>
        <v>436776</v>
      </c>
      <c r="I194" s="360">
        <f t="shared" si="20"/>
        <v>513037</v>
      </c>
      <c r="J194" s="774">
        <f t="shared" si="20"/>
        <v>1448312</v>
      </c>
      <c r="K194" s="774">
        <f>SUM(K186:K193)</f>
        <v>1448312</v>
      </c>
      <c r="L194" s="774">
        <f>SUM(L186:L193)</f>
        <v>628661</v>
      </c>
      <c r="M194" s="774" t="s">
        <v>173</v>
      </c>
      <c r="N194" s="51"/>
      <c r="O194" s="83"/>
      <c r="P194" s="68"/>
      <c r="Q194" s="509">
        <f>SUM(Q191:Q193)</f>
        <v>290000</v>
      </c>
      <c r="S194" s="57"/>
    </row>
    <row r="195" spans="1:19" s="29" customFormat="1" ht="15.75" thickBot="1">
      <c r="A195" s="278"/>
      <c r="B195" s="21"/>
      <c r="C195" s="23"/>
      <c r="D195" s="362"/>
      <c r="E195" s="22"/>
      <c r="F195" s="22"/>
      <c r="G195" s="362"/>
      <c r="H195" s="362"/>
      <c r="I195" s="362"/>
      <c r="J195" s="777"/>
      <c r="K195" s="777"/>
      <c r="L195" s="777"/>
      <c r="M195" s="777"/>
      <c r="N195" s="31"/>
      <c r="O195" s="10"/>
      <c r="P195" s="278"/>
      <c r="S195" s="134"/>
    </row>
    <row r="196" spans="1:19" s="29" customFormat="1" ht="15.75" thickBot="1">
      <c r="A196" s="278"/>
      <c r="B196" s="24" t="s">
        <v>3</v>
      </c>
      <c r="C196" s="23"/>
      <c r="D196" s="362"/>
      <c r="E196" s="22"/>
      <c r="F196" s="22"/>
      <c r="G196" s="362"/>
      <c r="H196" s="362"/>
      <c r="I196" s="362"/>
      <c r="J196" s="777"/>
      <c r="K196" s="777"/>
      <c r="L196" s="777"/>
      <c r="M196" s="777"/>
      <c r="N196" s="31"/>
      <c r="O196" s="10"/>
      <c r="P196" s="278"/>
      <c r="R196" s="16" t="s">
        <v>263</v>
      </c>
      <c r="S196" s="134"/>
    </row>
    <row r="197" spans="1:19" s="29" customFormat="1" ht="13.5">
      <c r="A197" s="278"/>
      <c r="B197" s="568" t="s">
        <v>333</v>
      </c>
      <c r="C197" s="569">
        <v>30000</v>
      </c>
      <c r="D197" s="570">
        <v>16000</v>
      </c>
      <c r="E197" s="571">
        <f>C197</f>
        <v>30000</v>
      </c>
      <c r="F197" s="571">
        <v>30000</v>
      </c>
      <c r="G197" s="570">
        <v>30000</v>
      </c>
      <c r="H197" s="570">
        <v>10000</v>
      </c>
      <c r="I197" s="570">
        <v>20000</v>
      </c>
      <c r="J197" s="785">
        <v>30000</v>
      </c>
      <c r="K197" s="785">
        <v>30000</v>
      </c>
      <c r="L197" s="785">
        <v>30000</v>
      </c>
      <c r="M197" s="809">
        <f>L197/K197</f>
        <v>1</v>
      </c>
      <c r="N197" s="31"/>
      <c r="O197" s="10"/>
      <c r="P197" s="376"/>
      <c r="R197" s="16">
        <f>J197</f>
        <v>30000</v>
      </c>
      <c r="S197" s="134"/>
    </row>
    <row r="198" spans="1:19" s="29" customFormat="1" ht="13.5">
      <c r="A198" s="278"/>
      <c r="B198" s="572" t="s">
        <v>334</v>
      </c>
      <c r="C198" s="573">
        <v>90000</v>
      </c>
      <c r="D198" s="565">
        <v>70399</v>
      </c>
      <c r="E198" s="566">
        <f>C198</f>
        <v>90000</v>
      </c>
      <c r="F198" s="566">
        <v>90000</v>
      </c>
      <c r="G198" s="565">
        <v>90000</v>
      </c>
      <c r="H198" s="565">
        <v>0</v>
      </c>
      <c r="I198" s="565">
        <v>10000</v>
      </c>
      <c r="J198" s="771">
        <v>80000</v>
      </c>
      <c r="K198" s="771">
        <v>80000</v>
      </c>
      <c r="L198" s="771">
        <v>50000</v>
      </c>
      <c r="M198" s="810">
        <f>L198/K198</f>
        <v>0.625</v>
      </c>
      <c r="N198" s="31"/>
      <c r="O198" s="10"/>
      <c r="P198" s="364"/>
      <c r="R198" s="16">
        <f>J198</f>
        <v>80000</v>
      </c>
      <c r="S198" s="134"/>
    </row>
    <row r="199" spans="1:19" s="29" customFormat="1" ht="13.5">
      <c r="A199" s="278"/>
      <c r="B199" s="572" t="s">
        <v>335</v>
      </c>
      <c r="C199" s="573">
        <v>260000</v>
      </c>
      <c r="D199" s="565">
        <v>110000</v>
      </c>
      <c r="E199" s="566">
        <f>C199</f>
        <v>260000</v>
      </c>
      <c r="F199" s="566">
        <v>260000</v>
      </c>
      <c r="G199" s="565">
        <v>200000</v>
      </c>
      <c r="H199" s="565">
        <v>20000</v>
      </c>
      <c r="I199" s="565">
        <v>20000</v>
      </c>
      <c r="J199" s="771">
        <v>180000</v>
      </c>
      <c r="K199" s="771">
        <v>180000</v>
      </c>
      <c r="L199" s="771">
        <v>90000</v>
      </c>
      <c r="M199" s="810">
        <f>L199/K199</f>
        <v>0.5</v>
      </c>
      <c r="N199" s="31"/>
      <c r="O199" s="10"/>
      <c r="P199" s="364"/>
      <c r="R199" s="16">
        <f>J199</f>
        <v>180000</v>
      </c>
      <c r="S199" s="134"/>
    </row>
    <row r="200" spans="1:19" s="29" customFormat="1" ht="14.25" thickBot="1">
      <c r="A200" s="278"/>
      <c r="B200" s="495" t="s">
        <v>4</v>
      </c>
      <c r="C200" s="563">
        <v>758871</v>
      </c>
      <c r="D200" s="555">
        <v>735000</v>
      </c>
      <c r="E200" s="556">
        <v>761136</v>
      </c>
      <c r="F200" s="556">
        <v>761136</v>
      </c>
      <c r="G200" s="555">
        <v>898137</v>
      </c>
      <c r="H200" s="564">
        <v>370607</v>
      </c>
      <c r="I200" s="556">
        <v>444730</v>
      </c>
      <c r="J200" s="781">
        <v>1158312</v>
      </c>
      <c r="K200" s="781">
        <v>1158312</v>
      </c>
      <c r="L200" s="781">
        <v>554158</v>
      </c>
      <c r="M200" s="811">
        <f>L200/K200</f>
        <v>0.47841859533528097</v>
      </c>
      <c r="N200" s="31"/>
      <c r="O200" s="10"/>
      <c r="P200" s="646"/>
      <c r="R200" s="16"/>
      <c r="S200" s="134"/>
    </row>
    <row r="201" spans="1:19" s="29" customFormat="1" ht="14.25" thickBot="1">
      <c r="A201" s="278"/>
      <c r="B201" s="490" t="s">
        <v>5</v>
      </c>
      <c r="C201" s="173">
        <f aca="true" t="shared" si="21" ref="C201:J201">SUM(C197:C200)</f>
        <v>1138871</v>
      </c>
      <c r="D201" s="360">
        <f t="shared" si="21"/>
        <v>931399</v>
      </c>
      <c r="E201" s="149">
        <f t="shared" si="21"/>
        <v>1141136</v>
      </c>
      <c r="F201" s="149">
        <f t="shared" si="21"/>
        <v>1141136</v>
      </c>
      <c r="G201" s="360">
        <f t="shared" si="21"/>
        <v>1218137</v>
      </c>
      <c r="H201" s="360">
        <f t="shared" si="21"/>
        <v>400607</v>
      </c>
      <c r="I201" s="360">
        <f t="shared" si="21"/>
        <v>494730</v>
      </c>
      <c r="J201" s="774">
        <f t="shared" si="21"/>
        <v>1448312</v>
      </c>
      <c r="K201" s="774">
        <f>SUM(K197:K200)</f>
        <v>1448312</v>
      </c>
      <c r="L201" s="774">
        <f>SUM(L197:L200)</f>
        <v>724158</v>
      </c>
      <c r="M201" s="774"/>
      <c r="N201" s="51"/>
      <c r="O201" s="83"/>
      <c r="P201" s="278"/>
      <c r="R201" s="510">
        <f>SUM(R197:R200)</f>
        <v>290000</v>
      </c>
      <c r="S201" s="134"/>
    </row>
    <row r="202" spans="1:19" s="29" customFormat="1" ht="7.5" customHeight="1" thickBot="1">
      <c r="A202" s="278"/>
      <c r="B202" s="68"/>
      <c r="C202" s="68"/>
      <c r="D202" s="344"/>
      <c r="E202" s="68"/>
      <c r="F202" s="68"/>
      <c r="G202" s="344"/>
      <c r="H202" s="344"/>
      <c r="I202" s="344"/>
      <c r="J202" s="619"/>
      <c r="K202" s="619"/>
      <c r="L202" s="619"/>
      <c r="M202" s="619"/>
      <c r="P202" s="278"/>
      <c r="S202" s="134"/>
    </row>
    <row r="203" spans="1:19" s="29" customFormat="1" ht="15" thickBot="1" thickTop="1">
      <c r="A203" s="278"/>
      <c r="B203" s="340" t="s">
        <v>224</v>
      </c>
      <c r="C203" s="341"/>
      <c r="D203" s="343">
        <f aca="true" t="shared" si="22" ref="D203:J203">D201-D194</f>
        <v>103605</v>
      </c>
      <c r="E203" s="343">
        <f t="shared" si="22"/>
        <v>0</v>
      </c>
      <c r="F203" s="343">
        <f t="shared" si="22"/>
        <v>158281</v>
      </c>
      <c r="G203" s="343">
        <f t="shared" si="22"/>
        <v>0</v>
      </c>
      <c r="H203" s="343">
        <f t="shared" si="22"/>
        <v>-36169</v>
      </c>
      <c r="I203" s="343">
        <f t="shared" si="22"/>
        <v>-18307</v>
      </c>
      <c r="J203" s="776">
        <f t="shared" si="22"/>
        <v>0</v>
      </c>
      <c r="K203" s="776">
        <f>K201-K194</f>
        <v>0</v>
      </c>
      <c r="L203" s="776">
        <f>L201-L194</f>
        <v>95497</v>
      </c>
      <c r="M203" s="776"/>
      <c r="P203" s="278"/>
      <c r="S203" s="134"/>
    </row>
    <row r="204" spans="1:19" s="29" customFormat="1" ht="10.5" customHeight="1" thickBot="1" thickTop="1">
      <c r="A204" s="278"/>
      <c r="B204" s="68"/>
      <c r="C204" s="68"/>
      <c r="D204" s="68"/>
      <c r="E204" s="68"/>
      <c r="F204" s="68"/>
      <c r="G204" s="344"/>
      <c r="H204" s="344"/>
      <c r="I204" s="344"/>
      <c r="J204" s="619"/>
      <c r="K204" s="619"/>
      <c r="L204" s="619"/>
      <c r="M204" s="619"/>
      <c r="P204" s="278"/>
      <c r="S204" s="134"/>
    </row>
    <row r="205" spans="1:19" s="29" customFormat="1" ht="15" thickBot="1" thickTop="1">
      <c r="A205" s="278"/>
      <c r="B205" s="340" t="s">
        <v>361</v>
      </c>
      <c r="C205" s="341"/>
      <c r="D205" s="343">
        <f aca="true" t="shared" si="23" ref="D205:J205">D203+D181+D147+D122</f>
        <v>233544</v>
      </c>
      <c r="E205" s="343">
        <f t="shared" si="23"/>
        <v>0</v>
      </c>
      <c r="F205" s="343">
        <f t="shared" si="23"/>
        <v>472042</v>
      </c>
      <c r="G205" s="343">
        <f t="shared" si="23"/>
        <v>0</v>
      </c>
      <c r="H205" s="343">
        <f t="shared" si="23"/>
        <v>-208</v>
      </c>
      <c r="I205" s="343">
        <f t="shared" si="23"/>
        <v>339693</v>
      </c>
      <c r="J205" s="787">
        <f t="shared" si="23"/>
        <v>0</v>
      </c>
      <c r="K205" s="787">
        <f>K203+K181+K147+K122</f>
        <v>0</v>
      </c>
      <c r="L205" s="787">
        <f>L203+L181+L147+L122</f>
        <v>623752</v>
      </c>
      <c r="M205" s="787"/>
      <c r="P205" s="278"/>
      <c r="Q205" s="366" t="s">
        <v>264</v>
      </c>
      <c r="R205" s="503">
        <f>R201+R179+R120</f>
        <v>2765000</v>
      </c>
      <c r="S205" s="134"/>
    </row>
    <row r="206" spans="1:19" s="29" customFormat="1" ht="14.25" thickBot="1" thickTop="1">
      <c r="A206" s="278"/>
      <c r="B206" s="68"/>
      <c r="C206" s="68"/>
      <c r="D206" s="68"/>
      <c r="E206" s="68"/>
      <c r="F206" s="68"/>
      <c r="G206" s="344"/>
      <c r="H206" s="344"/>
      <c r="I206" s="344"/>
      <c r="J206" s="619"/>
      <c r="K206" s="786"/>
      <c r="L206" s="786"/>
      <c r="M206" s="786"/>
      <c r="P206" s="278"/>
      <c r="S206" s="134"/>
    </row>
    <row r="207" spans="1:19" s="29" customFormat="1" ht="12.75">
      <c r="A207" s="278"/>
      <c r="B207" s="650"/>
      <c r="C207" s="651"/>
      <c r="D207" s="651"/>
      <c r="E207" s="652" t="s">
        <v>354</v>
      </c>
      <c r="F207" s="653" t="s">
        <v>355</v>
      </c>
      <c r="G207" s="652" t="s">
        <v>353</v>
      </c>
      <c r="H207" s="652"/>
      <c r="I207" s="654" t="s">
        <v>213</v>
      </c>
      <c r="J207" s="655" t="s">
        <v>316</v>
      </c>
      <c r="K207" s="655" t="s">
        <v>416</v>
      </c>
      <c r="L207" s="655" t="s">
        <v>417</v>
      </c>
      <c r="M207" s="655"/>
      <c r="N207" s="656"/>
      <c r="O207" s="656"/>
      <c r="P207" s="657" t="s">
        <v>289</v>
      </c>
      <c r="S207" s="134"/>
    </row>
    <row r="208" spans="1:19" s="29" customFormat="1" ht="12.75">
      <c r="A208" s="278"/>
      <c r="B208" s="658" t="s">
        <v>214</v>
      </c>
      <c r="C208" s="659"/>
      <c r="D208" s="659"/>
      <c r="E208" s="660">
        <f>E200+E171+E144+E71+E69</f>
        <v>9907866</v>
      </c>
      <c r="F208" s="660">
        <f>F200+F171+F144+F71+F69</f>
        <v>9877604</v>
      </c>
      <c r="G208" s="660">
        <f>G200+G171+G144+G71+G69</f>
        <v>10779137</v>
      </c>
      <c r="H208" s="661"/>
      <c r="I208" s="660">
        <f>I200+I171+I144+I71</f>
        <v>5289060</v>
      </c>
      <c r="J208" s="788">
        <f>J200+J171+J144+J71</f>
        <v>12033774</v>
      </c>
      <c r="K208" s="788">
        <f>K200+K171+K144+K71</f>
        <v>12683774</v>
      </c>
      <c r="L208" s="788">
        <f>L200+L171+L144+L71</f>
        <v>5907061</v>
      </c>
      <c r="M208" s="788"/>
      <c r="N208" s="662"/>
      <c r="O208" s="662"/>
      <c r="P208" s="663">
        <f>J208/G208</f>
        <v>1.116394939594886</v>
      </c>
      <c r="S208" s="134"/>
    </row>
    <row r="209" spans="1:19" s="29" customFormat="1" ht="12.75">
      <c r="A209" s="278"/>
      <c r="B209" s="658" t="s">
        <v>336</v>
      </c>
      <c r="C209" s="659"/>
      <c r="D209" s="659"/>
      <c r="E209" s="660"/>
      <c r="F209" s="660">
        <f>F199+F198+F197+F177+F176+F174+F173+F172+F103+F101+F99+F97+F96+F94+F91+F90+F92+F88+F86+F85+F84+F83+F81+F79+F72</f>
        <v>2920045</v>
      </c>
      <c r="G209" s="660">
        <f>G199+G198+G197+G177+G176+G174+G173+G108+G107+G103+G102+G101+G99+G98+G97+G95+G92+G91+G90+G88+G86+G85+G84+G83+G81+G78+G72+G94</f>
        <v>2935500</v>
      </c>
      <c r="H209" s="661"/>
      <c r="I209" s="660">
        <f>I199+I198+I197+I177+I176+I174+I173+I108+I107+I103+I102+I101+I99+I98+I97+I95+I92+I91+I90+I88+I86+I85+I84+I83+I81+I78+I72+I94</f>
        <v>766000</v>
      </c>
      <c r="J209" s="789">
        <f>R205</f>
        <v>2765000</v>
      </c>
      <c r="K209" s="789">
        <f>K199+K198+K197+K177+K176+K174+K173+K112+K111+K110+K109+K108+K103+K102+K101+K99+K98+K97+K95+K94+K92+K91+K90+K88+K86+K85+K84+K83+K81+K78+K72</f>
        <v>2765000</v>
      </c>
      <c r="L209" s="789">
        <f>L199+L198+L197+L177+L176+L174+L173+L112+L111+L110+L109+L108+L103+L102+L101+L99+L98+L97+L95+L94+L92+L91+L90+L88+L86+L85+L84+L83+L81+L78+L72</f>
        <v>1100000</v>
      </c>
      <c r="M209" s="789"/>
      <c r="N209" s="662"/>
      <c r="O209" s="662"/>
      <c r="P209" s="663">
        <f>J209/G209</f>
        <v>0.9419179015499914</v>
      </c>
      <c r="S209" s="134"/>
    </row>
    <row r="210" spans="1:19" s="29" customFormat="1" ht="12.75">
      <c r="A210" s="278"/>
      <c r="B210" s="696" t="s">
        <v>368</v>
      </c>
      <c r="C210" s="697"/>
      <c r="D210" s="697"/>
      <c r="E210" s="698">
        <f>SUM(E208:E209)</f>
        <v>9907866</v>
      </c>
      <c r="F210" s="698">
        <f>SUM(F208:F209)</f>
        <v>12797649</v>
      </c>
      <c r="G210" s="698">
        <f>SUM(G208:G209)</f>
        <v>13714637</v>
      </c>
      <c r="H210" s="699"/>
      <c r="I210" s="698">
        <f>SUM(I208:I209)</f>
        <v>6055060</v>
      </c>
      <c r="J210" s="790">
        <f>SUM(J208:J209)</f>
        <v>14798774</v>
      </c>
      <c r="K210" s="790">
        <f>SUM(K208:K209)</f>
        <v>15448774</v>
      </c>
      <c r="L210" s="790">
        <f>SUM(L208:L209)</f>
        <v>7007061</v>
      </c>
      <c r="M210" s="790"/>
      <c r="N210" s="700"/>
      <c r="O210" s="700"/>
      <c r="P210" s="701">
        <f>J210/G210</f>
        <v>1.0790496314266285</v>
      </c>
      <c r="S210" s="134"/>
    </row>
    <row r="211" spans="2:21" ht="12.75">
      <c r="B211" s="664" t="s">
        <v>215</v>
      </c>
      <c r="C211" s="665"/>
      <c r="D211" s="665"/>
      <c r="E211" s="666">
        <f>E190+E164+E136+E15</f>
        <v>5698869</v>
      </c>
      <c r="F211" s="666">
        <f>F190+F164+F136+F15</f>
        <v>5516606</v>
      </c>
      <c r="G211" s="666">
        <f>G190+G164+G136+G15</f>
        <v>6865165</v>
      </c>
      <c r="H211" s="667"/>
      <c r="I211" s="666">
        <f>I190+I164+I136+I15</f>
        <v>3077368</v>
      </c>
      <c r="J211" s="791">
        <f>J190+J164+J136+J15</f>
        <v>8300923</v>
      </c>
      <c r="K211" s="791">
        <f>K190+K164+K136+K15</f>
        <v>8300923</v>
      </c>
      <c r="L211" s="791">
        <f>L190+L164+L136+L15</f>
        <v>3600986</v>
      </c>
      <c r="M211" s="791"/>
      <c r="N211" s="668"/>
      <c r="O211" s="668"/>
      <c r="P211" s="663">
        <f>J211/G211</f>
        <v>1.2091367068380732</v>
      </c>
      <c r="T211" s="29"/>
      <c r="U211" s="29"/>
    </row>
    <row r="212" spans="2:21" ht="12.75">
      <c r="B212" s="669"/>
      <c r="C212" s="670"/>
      <c r="D212" s="670"/>
      <c r="E212" s="670"/>
      <c r="F212" s="670" t="s">
        <v>173</v>
      </c>
      <c r="G212" s="671"/>
      <c r="H212" s="671"/>
      <c r="I212" s="671"/>
      <c r="J212" s="792"/>
      <c r="K212" s="792"/>
      <c r="L212" s="792"/>
      <c r="M212" s="792"/>
      <c r="N212" s="670"/>
      <c r="O212" s="670"/>
      <c r="P212" s="672"/>
      <c r="T212" s="29"/>
      <c r="U212" s="29"/>
    </row>
    <row r="213" spans="2:21" ht="12.75">
      <c r="B213" s="658" t="s">
        <v>357</v>
      </c>
      <c r="C213" s="670"/>
      <c r="D213" s="670"/>
      <c r="E213" s="667">
        <f>E194+E165+E137+E63</f>
        <v>16297462</v>
      </c>
      <c r="F213" s="667">
        <f>F194+F165+F137+F63</f>
        <v>16002427</v>
      </c>
      <c r="G213" s="667">
        <f>G194+G165+G137+G63</f>
        <v>17513237</v>
      </c>
      <c r="H213" s="671"/>
      <c r="I213" s="667">
        <f>I194+I165+I137+I63</f>
        <v>7644189</v>
      </c>
      <c r="J213" s="792">
        <f>J194+J165+J137+J63</f>
        <v>18189874</v>
      </c>
      <c r="K213" s="792">
        <f>K194+K165+K137+K63</f>
        <v>19349874</v>
      </c>
      <c r="L213" s="792">
        <f>L194+L165+L137+L63</f>
        <v>8729645</v>
      </c>
      <c r="M213" s="792"/>
      <c r="N213" s="670"/>
      <c r="O213" s="670"/>
      <c r="P213" s="672"/>
      <c r="T213" s="29"/>
      <c r="U213" s="29"/>
    </row>
    <row r="214" spans="2:16" ht="13.5" thickBot="1">
      <c r="B214" s="673" t="s">
        <v>358</v>
      </c>
      <c r="C214" s="674"/>
      <c r="D214" s="674"/>
      <c r="E214" s="675">
        <f>E201+E179+E145+E120</f>
        <v>16297462</v>
      </c>
      <c r="F214" s="675">
        <f>F201+F179+F145+F120</f>
        <v>16474469</v>
      </c>
      <c r="G214" s="675">
        <f>G201+G179+G145+G120</f>
        <v>17513237</v>
      </c>
      <c r="H214" s="676"/>
      <c r="I214" s="675">
        <f>I201+I179+I145+I120</f>
        <v>7983882</v>
      </c>
      <c r="J214" s="793">
        <f>J201+J179+J145+J120</f>
        <v>18189874</v>
      </c>
      <c r="K214" s="793">
        <f>K201+K179+K145+K120</f>
        <v>19349874</v>
      </c>
      <c r="L214" s="793">
        <f>L201+L179+L145+L120</f>
        <v>9353397</v>
      </c>
      <c r="M214" s="793"/>
      <c r="N214" s="674"/>
      <c r="O214" s="674"/>
      <c r="P214" s="677"/>
    </row>
    <row r="215" spans="2:5" ht="12.75">
      <c r="B215" s="63"/>
      <c r="E215" t="s">
        <v>173</v>
      </c>
    </row>
    <row r="217" ht="12.75">
      <c r="P217" s="649">
        <f>J210-14798776</f>
        <v>-2</v>
      </c>
    </row>
  </sheetData>
  <sheetProtection/>
  <mergeCells count="4">
    <mergeCell ref="B2:O2"/>
    <mergeCell ref="B124:L124"/>
    <mergeCell ref="B149:O149"/>
    <mergeCell ref="B183:O18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122" max="255" man="1"/>
  </rowBreaks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499"/>
  <sheetViews>
    <sheetView tabSelected="1" zoomScalePageLayoutView="0" workbookViewId="0" topLeftCell="A1">
      <selection activeCell="A27" sqref="A27"/>
    </sheetView>
  </sheetViews>
  <sheetFormatPr defaultColWidth="9.125" defaultRowHeight="12.75"/>
  <cols>
    <col min="1" max="1" width="35.50390625" style="702" customWidth="1"/>
    <col min="2" max="2" width="12.50390625" style="702" customWidth="1"/>
    <col min="3" max="3" width="15.375" style="702" customWidth="1"/>
    <col min="4" max="4" width="13.125" style="703" customWidth="1"/>
    <col min="5" max="5" width="10.50390625" style="703" customWidth="1"/>
    <col min="6" max="16384" width="9.125" style="702" customWidth="1"/>
  </cols>
  <sheetData>
    <row r="1" spans="1:5" ht="19.5" customHeight="1">
      <c r="A1" s="879" t="s">
        <v>369</v>
      </c>
      <c r="B1" s="879"/>
      <c r="C1" s="879"/>
      <c r="D1" s="879"/>
      <c r="E1" s="702"/>
    </row>
    <row r="2" spans="1:3" ht="19.5" customHeight="1">
      <c r="A2" s="880"/>
      <c r="B2" s="880"/>
      <c r="C2" s="880"/>
    </row>
    <row r="3" spans="1:4" s="52" customFormat="1" ht="19.5" customHeight="1">
      <c r="A3" s="881" t="s">
        <v>370</v>
      </c>
      <c r="B3" s="881"/>
      <c r="C3" s="881"/>
      <c r="D3" s="881"/>
    </row>
    <row r="4" spans="1:5" ht="19.5" customHeight="1">
      <c r="A4" s="882" t="s">
        <v>7</v>
      </c>
      <c r="B4" s="883" t="s">
        <v>409</v>
      </c>
      <c r="C4" s="883" t="s">
        <v>412</v>
      </c>
      <c r="D4" s="876" t="s">
        <v>439</v>
      </c>
      <c r="E4" s="876" t="s">
        <v>415</v>
      </c>
    </row>
    <row r="5" spans="1:5" ht="19.5" customHeight="1">
      <c r="A5" s="882"/>
      <c r="B5" s="883"/>
      <c r="C5" s="883"/>
      <c r="D5" s="877"/>
      <c r="E5" s="877"/>
    </row>
    <row r="6" spans="1:5" ht="19.5" customHeight="1">
      <c r="A6" s="882"/>
      <c r="B6" s="883"/>
      <c r="C6" s="883"/>
      <c r="D6" s="878"/>
      <c r="E6" s="878"/>
    </row>
    <row r="7" spans="1:5" ht="19.5" customHeight="1">
      <c r="A7" s="704" t="s">
        <v>371</v>
      </c>
      <c r="B7" s="826">
        <v>1315800</v>
      </c>
      <c r="C7" s="826">
        <v>1315800</v>
      </c>
      <c r="D7" s="726">
        <f>'06_18 prac'!L7+'06_18 prac'!L8+'06_18 prac'!L9</f>
        <v>764986</v>
      </c>
      <c r="E7" s="842">
        <f>D7/C7</f>
        <v>0.5813847089223286</v>
      </c>
    </row>
    <row r="8" spans="1:5" ht="19.5" customHeight="1" hidden="1">
      <c r="A8" s="707" t="s">
        <v>372</v>
      </c>
      <c r="B8" s="708"/>
      <c r="C8" s="708"/>
      <c r="D8" s="726"/>
      <c r="E8" s="842" t="e">
        <f aca="true" t="shared" si="0" ref="E8:E24">D8/C8</f>
        <v>#DIV/0!</v>
      </c>
    </row>
    <row r="9" spans="1:5" ht="19.5" customHeight="1" hidden="1">
      <c r="A9" s="707" t="s">
        <v>373</v>
      </c>
      <c r="B9" s="708"/>
      <c r="C9" s="708"/>
      <c r="D9" s="726"/>
      <c r="E9" s="842" t="e">
        <f t="shared" si="0"/>
        <v>#DIV/0!</v>
      </c>
    </row>
    <row r="10" spans="1:5" ht="19.5" customHeight="1" hidden="1">
      <c r="A10" s="707" t="s">
        <v>374</v>
      </c>
      <c r="B10" s="708"/>
      <c r="C10" s="708"/>
      <c r="D10" s="726"/>
      <c r="E10" s="842" t="e">
        <f t="shared" si="0"/>
        <v>#DIV/0!</v>
      </c>
    </row>
    <row r="11" spans="1:5" ht="19.5" customHeight="1">
      <c r="A11" s="711" t="s">
        <v>1</v>
      </c>
      <c r="B11" s="708">
        <v>50000</v>
      </c>
      <c r="C11" s="708">
        <v>50000</v>
      </c>
      <c r="D11" s="726">
        <f>'06_18 prac'!L10</f>
        <v>32529</v>
      </c>
      <c r="E11" s="842">
        <f t="shared" si="0"/>
        <v>0.65058</v>
      </c>
    </row>
    <row r="12" spans="1:5" ht="19.5" customHeight="1">
      <c r="A12" s="857" t="s">
        <v>8</v>
      </c>
      <c r="B12" s="858">
        <v>410000</v>
      </c>
      <c r="C12" s="858">
        <f>410000+650000</f>
        <v>1060000</v>
      </c>
      <c r="D12" s="726">
        <f>'06_18 prac'!L11</f>
        <v>63778</v>
      </c>
      <c r="E12" s="842">
        <f t="shared" si="0"/>
        <v>0.060167924528301886</v>
      </c>
    </row>
    <row r="13" spans="1:5" ht="19.5" customHeight="1">
      <c r="A13" s="711" t="s">
        <v>18</v>
      </c>
      <c r="B13" s="708">
        <v>1907000</v>
      </c>
      <c r="C13" s="708">
        <v>1907000</v>
      </c>
      <c r="D13" s="726">
        <f>'06_18 prac'!L12</f>
        <v>1587410</v>
      </c>
      <c r="E13" s="842">
        <f t="shared" si="0"/>
        <v>0.8324121657052963</v>
      </c>
    </row>
    <row r="14" spans="1:5" ht="19.5" customHeight="1">
      <c r="A14" s="711" t="s">
        <v>9</v>
      </c>
      <c r="B14" s="708">
        <v>1190000</v>
      </c>
      <c r="C14" s="708">
        <v>1190000</v>
      </c>
      <c r="D14" s="726">
        <f>'06_18 prac'!L13</f>
        <v>565162</v>
      </c>
      <c r="E14" s="842">
        <f t="shared" si="0"/>
        <v>0.47492605042016806</v>
      </c>
    </row>
    <row r="15" spans="1:5" ht="19.5" customHeight="1">
      <c r="A15" s="711" t="s">
        <v>10</v>
      </c>
      <c r="B15" s="708">
        <v>5470439</v>
      </c>
      <c r="C15" s="708">
        <v>5470439</v>
      </c>
      <c r="D15" s="726">
        <f>'06_18 prac'!L15+'06_18 prac'!L61</f>
        <v>2488272</v>
      </c>
      <c r="E15" s="842">
        <f t="shared" si="0"/>
        <v>0.45485782768074007</v>
      </c>
    </row>
    <row r="16" spans="1:5" ht="19.5" customHeight="1">
      <c r="A16" s="711" t="s">
        <v>139</v>
      </c>
      <c r="B16" s="708">
        <v>50000</v>
      </c>
      <c r="C16" s="708">
        <v>50000</v>
      </c>
      <c r="D16" s="726">
        <f>'06_18 prac'!L22</f>
        <v>23612</v>
      </c>
      <c r="E16" s="842">
        <f t="shared" si="0"/>
        <v>0.47224</v>
      </c>
    </row>
    <row r="17" spans="1:5" ht="19.5" customHeight="1">
      <c r="A17" s="711" t="s">
        <v>157</v>
      </c>
      <c r="B17" s="712">
        <v>759885</v>
      </c>
      <c r="C17" s="712">
        <v>759885</v>
      </c>
      <c r="D17" s="726">
        <f>'06_18 prac'!L62</f>
        <v>369363</v>
      </c>
      <c r="E17" s="842">
        <f t="shared" si="0"/>
        <v>0.4860774985688624</v>
      </c>
    </row>
    <row r="18" spans="1:5" ht="19.5" customHeight="1">
      <c r="A18" s="713" t="s">
        <v>375</v>
      </c>
      <c r="B18" s="712">
        <v>10000</v>
      </c>
      <c r="C18" s="712">
        <v>10000</v>
      </c>
      <c r="D18" s="726">
        <f>'06_18 prac'!L44</f>
        <v>12100</v>
      </c>
      <c r="E18" s="842">
        <f t="shared" si="0"/>
        <v>1.21</v>
      </c>
    </row>
    <row r="19" spans="1:5" ht="19.5" customHeight="1">
      <c r="A19" s="714" t="s">
        <v>39</v>
      </c>
      <c r="B19" s="709">
        <v>1304500</v>
      </c>
      <c r="C19" s="709">
        <v>1304500</v>
      </c>
      <c r="D19" s="726">
        <f>'06_18 prac'!L16</f>
        <v>109792</v>
      </c>
      <c r="E19" s="842">
        <f t="shared" si="0"/>
        <v>0.08416404752778843</v>
      </c>
    </row>
    <row r="20" spans="1:5" ht="19.5" customHeight="1">
      <c r="A20" s="861" t="s">
        <v>423</v>
      </c>
      <c r="B20" s="846"/>
      <c r="C20" s="846">
        <v>200000</v>
      </c>
      <c r="D20" s="726">
        <f>'06_18 prac'!L20</f>
        <v>0</v>
      </c>
      <c r="E20" s="842">
        <f t="shared" si="0"/>
        <v>0</v>
      </c>
    </row>
    <row r="21" spans="1:5" ht="19.5" customHeight="1">
      <c r="A21" s="860" t="s">
        <v>425</v>
      </c>
      <c r="B21" s="846"/>
      <c r="C21" s="846">
        <v>50000</v>
      </c>
      <c r="D21" s="726">
        <f>'06_18 prac'!L21</f>
        <v>0</v>
      </c>
      <c r="E21" s="842">
        <f>D21/C21</f>
        <v>0</v>
      </c>
    </row>
    <row r="22" spans="1:5" ht="19.5" customHeight="1">
      <c r="A22" s="711" t="s">
        <v>376</v>
      </c>
      <c r="B22" s="709">
        <v>853000</v>
      </c>
      <c r="C22" s="709">
        <v>853000</v>
      </c>
      <c r="D22" s="726">
        <f>'06_18 prac'!L23+'06_18 prac'!L25+'06_18 prac'!L26+'06_18 prac'!L27+'06_18 prac'!L29+'06_18 prac'!L30+'06_18 prac'!L36+'06_18 prac'!L37+'06_18 prac'!L38+'06_18 prac'!L39+'06_18 prac'!L40+'06_18 prac'!L49+'06_18 prac'!L50</f>
        <v>327792</v>
      </c>
      <c r="E22" s="842">
        <f t="shared" si="0"/>
        <v>0.38428135990621337</v>
      </c>
    </row>
    <row r="23" spans="1:5" ht="19.5" customHeight="1">
      <c r="A23" s="715" t="s">
        <v>377</v>
      </c>
      <c r="B23" s="709">
        <v>761000</v>
      </c>
      <c r="C23" s="709">
        <v>761000</v>
      </c>
      <c r="D23" s="726">
        <f>'06_18 prac'!L31+'06_18 prac'!L33+'06_18 prac'!L42+'06_18 prac'!L47+'06_18 prac'!L57+'06_18 prac'!L58</f>
        <v>627363</v>
      </c>
      <c r="E23" s="842">
        <f t="shared" si="0"/>
        <v>0.8243929040735873</v>
      </c>
    </row>
    <row r="24" spans="1:5" ht="19.5" customHeight="1">
      <c r="A24" s="847" t="s">
        <v>410</v>
      </c>
      <c r="B24" s="846"/>
      <c r="C24" s="846">
        <v>230000</v>
      </c>
      <c r="D24" s="726">
        <f>'06_18 prac'!L60+'06_18 prac'!L59</f>
        <v>229738</v>
      </c>
      <c r="E24" s="842">
        <f t="shared" si="0"/>
        <v>0.9988608695652174</v>
      </c>
    </row>
    <row r="25" spans="1:5" ht="19.5" customHeight="1">
      <c r="A25" s="827" t="s">
        <v>378</v>
      </c>
      <c r="B25" s="829">
        <f>SUM(B7:B23)</f>
        <v>14081624</v>
      </c>
      <c r="C25" s="829">
        <f>SUM(C7:C24)</f>
        <v>15211624</v>
      </c>
      <c r="D25" s="829">
        <f>SUM(D7:D24)</f>
        <v>7201897</v>
      </c>
      <c r="E25" s="842">
        <f>D25/C25</f>
        <v>0.47344695083181126</v>
      </c>
    </row>
    <row r="26" spans="1:3" ht="19.5" customHeight="1">
      <c r="A26" s="717"/>
      <c r="B26" s="718"/>
      <c r="C26" s="719"/>
    </row>
    <row r="27" spans="1:3" ht="19.5" customHeight="1">
      <c r="A27" s="717"/>
      <c r="B27" s="718"/>
      <c r="C27" s="719"/>
    </row>
    <row r="28" spans="1:3" ht="19.5" customHeight="1" hidden="1">
      <c r="A28" s="717"/>
      <c r="B28" s="718"/>
      <c r="C28" s="719"/>
    </row>
    <row r="29" spans="1:3" ht="19.5" customHeight="1" hidden="1">
      <c r="A29" s="717"/>
      <c r="B29" s="718"/>
      <c r="C29" s="719"/>
    </row>
    <row r="30" spans="1:3" ht="19.5" customHeight="1" hidden="1">
      <c r="A30" s="717"/>
      <c r="B30" s="718"/>
      <c r="C30" s="719"/>
    </row>
    <row r="31" spans="1:3" ht="19.5" customHeight="1" hidden="1">
      <c r="A31" s="717"/>
      <c r="B31" s="718"/>
      <c r="C31" s="719"/>
    </row>
    <row r="32" spans="1:3" ht="19.5" customHeight="1" hidden="1">
      <c r="A32" s="717"/>
      <c r="B32" s="718"/>
      <c r="C32" s="719"/>
    </row>
    <row r="33" spans="1:3" ht="19.5" customHeight="1" hidden="1">
      <c r="A33" s="717"/>
      <c r="B33" s="718"/>
      <c r="C33" s="719"/>
    </row>
    <row r="34" spans="1:3" ht="19.5" customHeight="1" hidden="1">
      <c r="A34" s="717"/>
      <c r="B34" s="718"/>
      <c r="C34" s="719"/>
    </row>
    <row r="35" spans="1:3" ht="19.5" customHeight="1" hidden="1">
      <c r="A35" s="717"/>
      <c r="B35" s="718"/>
      <c r="C35" s="719"/>
    </row>
    <row r="36" spans="1:3" ht="19.5" customHeight="1" hidden="1">
      <c r="A36" s="717"/>
      <c r="B36" s="718"/>
      <c r="C36" s="719"/>
    </row>
    <row r="37" spans="1:5" ht="19.5" customHeight="1" hidden="1">
      <c r="A37" s="720"/>
      <c r="B37" s="514"/>
      <c r="C37" s="721"/>
      <c r="D37" s="25"/>
      <c r="E37" s="25"/>
    </row>
    <row r="38" spans="1:5" ht="19.5" customHeight="1">
      <c r="A38" s="882" t="s">
        <v>379</v>
      </c>
      <c r="B38" s="883" t="s">
        <v>409</v>
      </c>
      <c r="C38" s="883" t="s">
        <v>412</v>
      </c>
      <c r="D38" s="876" t="s">
        <v>439</v>
      </c>
      <c r="E38" s="876" t="s">
        <v>415</v>
      </c>
    </row>
    <row r="39" spans="1:5" ht="19.5" customHeight="1">
      <c r="A39" s="882"/>
      <c r="B39" s="883"/>
      <c r="C39" s="883"/>
      <c r="D39" s="877"/>
      <c r="E39" s="877"/>
    </row>
    <row r="40" spans="1:5" ht="19.5" customHeight="1">
      <c r="A40" s="882"/>
      <c r="B40" s="883"/>
      <c r="C40" s="883"/>
      <c r="D40" s="878"/>
      <c r="E40" s="878"/>
    </row>
    <row r="41" spans="1:5" ht="19.5" customHeight="1">
      <c r="A41" s="857" t="s">
        <v>4</v>
      </c>
      <c r="B41" s="859">
        <v>10350639</v>
      </c>
      <c r="C41" s="859">
        <f>650000+10350639</f>
        <v>11000639</v>
      </c>
      <c r="D41" s="843">
        <f>'06_18 prac'!L71+'06_18 prac'!L72+'06_18 prac'!L84+'06_18 prac'!L86+'06_18 prac'!L90+'06_18 prac'!L91+'06_18 prac'!L92+'06_18 prac'!L94+'06_18 prac'!L95+'06_18 prac'!L97+'06_18 prac'!L98+'06_18 prac'!L99+'06_18 prac'!L108+'06_18 prac'!L109+'06_18 prac'!L110+'06_18 prac'!L111</f>
        <v>5165319</v>
      </c>
      <c r="E41" s="842">
        <f>D41/C41</f>
        <v>0.46954717812301633</v>
      </c>
    </row>
    <row r="42" spans="1:5" ht="19.5" customHeight="1">
      <c r="A42" s="711" t="s">
        <v>157</v>
      </c>
      <c r="B42" s="716">
        <v>759885</v>
      </c>
      <c r="C42" s="716">
        <v>759885</v>
      </c>
      <c r="D42" s="843"/>
      <c r="E42" s="842">
        <f>D42/C42</f>
        <v>0</v>
      </c>
    </row>
    <row r="43" spans="1:5" ht="19.5" customHeight="1">
      <c r="A43" s="711" t="s">
        <v>11</v>
      </c>
      <c r="B43" s="716">
        <v>2948000</v>
      </c>
      <c r="C43" s="716">
        <v>2948000</v>
      </c>
      <c r="D43" s="843">
        <f>'06_18 prac'!L66</f>
        <v>1682120</v>
      </c>
      <c r="E43" s="842">
        <f>D43/C43</f>
        <v>0.5705970149253732</v>
      </c>
    </row>
    <row r="44" spans="1:5" ht="19.5" customHeight="1">
      <c r="A44" s="711" t="s">
        <v>12</v>
      </c>
      <c r="B44" s="716">
        <v>23100</v>
      </c>
      <c r="C44" s="716">
        <v>23100</v>
      </c>
      <c r="D44" s="843">
        <f>'06_18 prac'!L70</f>
        <v>73</v>
      </c>
      <c r="E44" s="842">
        <f>D44/C44</f>
        <v>0.0031601731601731604</v>
      </c>
    </row>
    <row r="45" spans="1:5" ht="19.5" customHeight="1" hidden="1">
      <c r="A45" s="723" t="s">
        <v>380</v>
      </c>
      <c r="B45" s="716"/>
      <c r="C45" s="716"/>
      <c r="D45" s="726"/>
      <c r="E45" s="710"/>
    </row>
    <row r="46" spans="1:5" ht="19.5" customHeight="1" hidden="1">
      <c r="A46" s="724" t="s">
        <v>381</v>
      </c>
      <c r="B46" s="716"/>
      <c r="C46" s="725"/>
      <c r="D46" s="726"/>
      <c r="E46" s="726"/>
    </row>
    <row r="47" spans="1:5" ht="19.5" customHeight="1" hidden="1">
      <c r="A47" s="723" t="s">
        <v>382</v>
      </c>
      <c r="B47" s="716"/>
      <c r="C47" s="725"/>
      <c r="D47" s="726"/>
      <c r="E47" s="707"/>
    </row>
    <row r="48" spans="1:5" ht="19.5" customHeight="1" hidden="1">
      <c r="A48" s="727" t="s">
        <v>383</v>
      </c>
      <c r="B48" s="716"/>
      <c r="C48" s="725"/>
      <c r="D48" s="726"/>
      <c r="E48" s="707"/>
    </row>
    <row r="49" spans="1:5" ht="19.5" customHeight="1" hidden="1">
      <c r="A49" s="723" t="s">
        <v>384</v>
      </c>
      <c r="B49" s="716"/>
      <c r="C49" s="716"/>
      <c r="D49" s="726"/>
      <c r="E49" s="844"/>
    </row>
    <row r="50" spans="1:5" ht="19.5" customHeight="1" hidden="1">
      <c r="A50" s="723" t="s">
        <v>385</v>
      </c>
      <c r="B50" s="716"/>
      <c r="C50" s="716"/>
      <c r="D50" s="726"/>
      <c r="E50" s="707"/>
    </row>
    <row r="51" spans="1:5" ht="19.5" customHeight="1" hidden="1">
      <c r="A51" s="707" t="s">
        <v>139</v>
      </c>
      <c r="B51" s="716"/>
      <c r="C51" s="725"/>
      <c r="D51" s="726"/>
      <c r="E51" s="707"/>
    </row>
    <row r="52" spans="1:5" ht="19.5" customHeight="1" hidden="1">
      <c r="A52" s="707" t="s">
        <v>19</v>
      </c>
      <c r="B52" s="716"/>
      <c r="C52" s="725"/>
      <c r="D52" s="726"/>
      <c r="E52" s="707"/>
    </row>
    <row r="53" spans="1:5" ht="19.5" customHeight="1" hidden="1">
      <c r="A53" s="723" t="s">
        <v>386</v>
      </c>
      <c r="B53" s="716"/>
      <c r="C53" s="725"/>
      <c r="D53" s="726"/>
      <c r="E53" s="707"/>
    </row>
    <row r="54" spans="1:5" ht="19.5" customHeight="1" hidden="1">
      <c r="A54" s="723" t="s">
        <v>387</v>
      </c>
      <c r="B54" s="716"/>
      <c r="C54" s="725"/>
      <c r="D54" s="726"/>
      <c r="E54" s="707"/>
    </row>
    <row r="55" spans="1:5" ht="19.5" customHeight="1" hidden="1">
      <c r="A55" s="723" t="s">
        <v>30</v>
      </c>
      <c r="B55" s="716"/>
      <c r="C55" s="725"/>
      <c r="D55" s="726"/>
      <c r="E55" s="707"/>
    </row>
    <row r="56" spans="1:5" ht="19.5" customHeight="1" hidden="1">
      <c r="A56" s="723" t="s">
        <v>31</v>
      </c>
      <c r="B56" s="716"/>
      <c r="C56" s="725"/>
      <c r="D56" s="726"/>
      <c r="E56" s="707"/>
    </row>
    <row r="57" spans="1:5" ht="19.5" customHeight="1" hidden="1">
      <c r="A57" s="723" t="s">
        <v>388</v>
      </c>
      <c r="B57" s="716"/>
      <c r="C57" s="725"/>
      <c r="D57" s="726"/>
      <c r="E57" s="707"/>
    </row>
    <row r="58" spans="1:5" ht="19.5" customHeight="1" hidden="1">
      <c r="A58" s="723" t="s">
        <v>389</v>
      </c>
      <c r="B58" s="716"/>
      <c r="C58" s="725"/>
      <c r="D58" s="726"/>
      <c r="E58" s="726"/>
    </row>
    <row r="59" spans="1:5" ht="19.5" customHeight="1" hidden="1">
      <c r="A59" s="723" t="s">
        <v>47</v>
      </c>
      <c r="B59" s="716"/>
      <c r="C59" s="725"/>
      <c r="D59" s="716"/>
      <c r="E59" s="716"/>
    </row>
    <row r="60" spans="1:5" ht="19.5" customHeight="1" hidden="1">
      <c r="A60" s="723" t="s">
        <v>48</v>
      </c>
      <c r="B60" s="716"/>
      <c r="C60" s="725"/>
      <c r="D60" s="716"/>
      <c r="E60" s="716"/>
    </row>
    <row r="61" spans="1:5" ht="19.5" customHeight="1" hidden="1">
      <c r="A61" s="723" t="s">
        <v>93</v>
      </c>
      <c r="B61" s="716"/>
      <c r="C61" s="725"/>
      <c r="D61" s="726"/>
      <c r="E61" s="726"/>
    </row>
    <row r="62" spans="1:5" ht="19.5" customHeight="1" hidden="1">
      <c r="A62" s="723" t="s">
        <v>180</v>
      </c>
      <c r="B62" s="716"/>
      <c r="C62" s="725"/>
      <c r="D62" s="726"/>
      <c r="E62" s="707"/>
    </row>
    <row r="63" spans="1:5" ht="19.5" customHeight="1" hidden="1">
      <c r="A63" s="723" t="s">
        <v>390</v>
      </c>
      <c r="B63" s="716"/>
      <c r="C63" s="725"/>
      <c r="D63" s="726"/>
      <c r="E63" s="707"/>
    </row>
    <row r="64" spans="1:5" ht="19.5" customHeight="1" hidden="1">
      <c r="A64" s="723" t="s">
        <v>391</v>
      </c>
      <c r="B64" s="716"/>
      <c r="C64" s="725"/>
      <c r="D64" s="726"/>
      <c r="E64" s="707"/>
    </row>
    <row r="65" spans="1:5" ht="19.5" customHeight="1" hidden="1">
      <c r="A65" s="723" t="s">
        <v>392</v>
      </c>
      <c r="B65" s="716"/>
      <c r="C65" s="725"/>
      <c r="D65" s="726"/>
      <c r="E65" s="707"/>
    </row>
    <row r="66" spans="1:5" ht="19.5" customHeight="1" hidden="1">
      <c r="A66" s="723" t="s">
        <v>393</v>
      </c>
      <c r="B66" s="716"/>
      <c r="C66" s="725"/>
      <c r="D66" s="726"/>
      <c r="E66" s="707"/>
    </row>
    <row r="67" spans="1:5" ht="19.5" customHeight="1" hidden="1">
      <c r="A67" s="723" t="s">
        <v>394</v>
      </c>
      <c r="B67" s="716"/>
      <c r="C67" s="725"/>
      <c r="D67" s="726"/>
      <c r="E67" s="707"/>
    </row>
    <row r="68" spans="1:5" ht="19.5" customHeight="1" hidden="1">
      <c r="A68" s="723" t="s">
        <v>395</v>
      </c>
      <c r="B68" s="716"/>
      <c r="C68" s="725"/>
      <c r="D68" s="726"/>
      <c r="E68" s="707"/>
    </row>
    <row r="69" spans="1:5" ht="19.5" customHeight="1">
      <c r="A69" s="847" t="s">
        <v>440</v>
      </c>
      <c r="B69" s="848"/>
      <c r="C69" s="849">
        <v>230000</v>
      </c>
      <c r="D69" s="726">
        <f>'06_18 prac'!L114+'06_18 prac'!L113</f>
        <v>329238</v>
      </c>
      <c r="E69" s="842">
        <f>D69/C69</f>
        <v>1.4314695652173912</v>
      </c>
    </row>
    <row r="70" spans="1:5" ht="19.5" customHeight="1">
      <c r="A70" s="861" t="s">
        <v>423</v>
      </c>
      <c r="B70" s="848"/>
      <c r="C70" s="849">
        <v>200000</v>
      </c>
      <c r="D70" s="726">
        <f>'06_18 prac'!L76</f>
        <v>200000</v>
      </c>
      <c r="E70" s="842">
        <f>D70/C70</f>
        <v>1</v>
      </c>
    </row>
    <row r="71" spans="1:5" ht="19.5" customHeight="1">
      <c r="A71" s="860" t="s">
        <v>425</v>
      </c>
      <c r="B71" s="848"/>
      <c r="C71" s="849">
        <v>50000</v>
      </c>
      <c r="D71" s="726">
        <f>'06_18 prac'!L77</f>
        <v>50000</v>
      </c>
      <c r="E71" s="842">
        <f>D71/C71</f>
        <v>1</v>
      </c>
    </row>
    <row r="72" spans="1:5" s="52" customFormat="1" ht="19.5" customHeight="1">
      <c r="A72" s="827" t="s">
        <v>13</v>
      </c>
      <c r="B72" s="829">
        <f>SUM(B41:B68)</f>
        <v>14081624</v>
      </c>
      <c r="C72" s="829">
        <f>SUM(C41:C71)</f>
        <v>15211624</v>
      </c>
      <c r="D72" s="725">
        <f>SUM(D41:D71)</f>
        <v>7426750</v>
      </c>
      <c r="E72" s="842">
        <f>D72/C72</f>
        <v>0.4882286072808531</v>
      </c>
    </row>
    <row r="73" spans="1:5" s="52" customFormat="1" ht="19.5" customHeight="1" hidden="1">
      <c r="A73" s="717"/>
      <c r="B73" s="718"/>
      <c r="C73" s="718"/>
      <c r="D73" s="25"/>
      <c r="E73" s="25"/>
    </row>
    <row r="74" spans="1:5" s="52" customFormat="1" ht="19.5" customHeight="1" hidden="1">
      <c r="A74" s="717"/>
      <c r="B74" s="718"/>
      <c r="C74" s="718"/>
      <c r="D74" s="25"/>
      <c r="E74" s="25"/>
    </row>
    <row r="75" spans="1:5" s="52" customFormat="1" ht="19.5" customHeight="1" hidden="1">
      <c r="A75" s="717"/>
      <c r="B75" s="718"/>
      <c r="C75" s="718"/>
      <c r="D75" s="25"/>
      <c r="E75" s="25"/>
    </row>
    <row r="76" spans="1:5" s="52" customFormat="1" ht="19.5" customHeight="1" hidden="1">
      <c r="A76" s="717"/>
      <c r="B76" s="718"/>
      <c r="C76" s="718"/>
      <c r="D76" s="25"/>
      <c r="E76" s="25"/>
    </row>
    <row r="77" spans="1:5" s="52" customFormat="1" ht="19.5" customHeight="1" hidden="1">
      <c r="A77" s="717"/>
      <c r="B77" s="718"/>
      <c r="C77" s="718"/>
      <c r="D77" s="25"/>
      <c r="E77" s="25"/>
    </row>
    <row r="78" spans="1:5" s="52" customFormat="1" ht="19.5" customHeight="1" hidden="1">
      <c r="A78" s="717"/>
      <c r="B78" s="718"/>
      <c r="C78" s="718"/>
      <c r="D78" s="25"/>
      <c r="E78" s="25"/>
    </row>
    <row r="79" spans="3:5" s="52" customFormat="1" ht="19.5" customHeight="1" hidden="1">
      <c r="C79" s="718"/>
      <c r="D79" s="25"/>
      <c r="E79" s="25"/>
    </row>
    <row r="80" spans="3:5" s="52" customFormat="1" ht="19.5" customHeight="1" hidden="1">
      <c r="C80" s="718"/>
      <c r="D80" s="25"/>
      <c r="E80" s="25"/>
    </row>
    <row r="81" spans="1:5" s="52" customFormat="1" ht="19.5" customHeight="1" hidden="1">
      <c r="A81" s="717"/>
      <c r="B81" s="718"/>
      <c r="C81" s="718"/>
      <c r="D81" s="25"/>
      <c r="E81" s="25"/>
    </row>
    <row r="82" spans="1:5" s="52" customFormat="1" ht="19.5" customHeight="1">
      <c r="A82" s="717"/>
      <c r="B82" s="718"/>
      <c r="C82" s="718"/>
      <c r="D82" s="25"/>
      <c r="E82" s="25"/>
    </row>
    <row r="83" spans="1:5" s="52" customFormat="1" ht="19.5" customHeight="1">
      <c r="A83" s="717"/>
      <c r="B83" s="718"/>
      <c r="C83" s="718"/>
      <c r="D83" s="25"/>
      <c r="E83" s="25"/>
    </row>
    <row r="84" spans="1:5" s="52" customFormat="1" ht="19.5" customHeight="1" hidden="1">
      <c r="A84" s="717"/>
      <c r="B84" s="514"/>
      <c r="C84" s="514"/>
      <c r="D84" s="502"/>
      <c r="E84" s="502"/>
    </row>
    <row r="85" spans="1:5" s="52" customFormat="1" ht="19.5" customHeight="1" hidden="1">
      <c r="A85" s="717"/>
      <c r="B85" s="514"/>
      <c r="C85" s="514"/>
      <c r="D85" s="502"/>
      <c r="E85" s="502"/>
    </row>
    <row r="86" spans="1:5" s="52" customFormat="1" ht="19.5" customHeight="1" hidden="1">
      <c r="A86" s="717"/>
      <c r="B86" s="514"/>
      <c r="C86" s="514"/>
      <c r="D86" s="502"/>
      <c r="E86" s="502"/>
    </row>
    <row r="87" spans="1:5" s="52" customFormat="1" ht="19.5" customHeight="1" hidden="1">
      <c r="A87" s="717"/>
      <c r="B87" s="514"/>
      <c r="C87" s="514"/>
      <c r="D87" s="502"/>
      <c r="E87" s="502"/>
    </row>
    <row r="88" spans="1:5" s="52" customFormat="1" ht="19.5" customHeight="1">
      <c r="A88" s="717"/>
      <c r="B88" s="718"/>
      <c r="C88" s="718"/>
      <c r="D88" s="25"/>
      <c r="E88" s="25"/>
    </row>
    <row r="89" spans="1:5" ht="19.5" customHeight="1">
      <c r="A89" s="885" t="s">
        <v>14</v>
      </c>
      <c r="B89" s="885"/>
      <c r="C89" s="885"/>
      <c r="D89" s="885"/>
      <c r="E89" s="702"/>
    </row>
    <row r="90" spans="1:5" ht="19.5" customHeight="1">
      <c r="A90" s="886" t="s">
        <v>0</v>
      </c>
      <c r="B90" s="883" t="s">
        <v>409</v>
      </c>
      <c r="C90" s="883" t="s">
        <v>412</v>
      </c>
      <c r="D90" s="876" t="s">
        <v>439</v>
      </c>
      <c r="E90" s="876" t="s">
        <v>415</v>
      </c>
    </row>
    <row r="91" spans="1:5" ht="19.5" customHeight="1">
      <c r="A91" s="886"/>
      <c r="B91" s="883"/>
      <c r="C91" s="883"/>
      <c r="D91" s="877"/>
      <c r="E91" s="877"/>
    </row>
    <row r="92" spans="1:5" ht="19.5" customHeight="1">
      <c r="A92" s="886"/>
      <c r="B92" s="883"/>
      <c r="C92" s="883"/>
      <c r="D92" s="878"/>
      <c r="E92" s="878"/>
    </row>
    <row r="93" spans="1:5" ht="19.5" customHeight="1">
      <c r="A93" s="715" t="s">
        <v>371</v>
      </c>
      <c r="B93" s="728">
        <v>178000</v>
      </c>
      <c r="C93" s="728">
        <v>178000</v>
      </c>
      <c r="D93" s="706">
        <f>'06_18 prac'!L127+'06_18 prac'!L128+'06_18 prac'!L129</f>
        <v>71200</v>
      </c>
      <c r="E93" s="842">
        <f aca="true" t="shared" si="1" ref="E93:E101">D93/C93</f>
        <v>0.4</v>
      </c>
    </row>
    <row r="94" spans="1:5" ht="19.5" customHeight="1" hidden="1">
      <c r="A94" s="707" t="s">
        <v>372</v>
      </c>
      <c r="B94" s="716"/>
      <c r="C94" s="716"/>
      <c r="D94" s="710"/>
      <c r="E94" s="842" t="e">
        <f t="shared" si="1"/>
        <v>#DIV/0!</v>
      </c>
    </row>
    <row r="95" spans="1:5" ht="19.5" customHeight="1" hidden="1">
      <c r="A95" s="707" t="s">
        <v>396</v>
      </c>
      <c r="B95" s="716"/>
      <c r="C95" s="716"/>
      <c r="D95" s="710"/>
      <c r="E95" s="842" t="e">
        <f t="shared" si="1"/>
        <v>#DIV/0!</v>
      </c>
    </row>
    <row r="96" spans="1:5" ht="19.5" customHeight="1" hidden="1">
      <c r="A96" s="707" t="s">
        <v>397</v>
      </c>
      <c r="B96" s="716"/>
      <c r="C96" s="716"/>
      <c r="D96" s="710"/>
      <c r="E96" s="842" t="e">
        <f t="shared" si="1"/>
        <v>#DIV/0!</v>
      </c>
    </row>
    <row r="97" spans="1:5" ht="19.5" customHeight="1">
      <c r="A97" s="711" t="s">
        <v>1</v>
      </c>
      <c r="B97" s="716">
        <v>15000</v>
      </c>
      <c r="C97" s="716">
        <v>15000</v>
      </c>
      <c r="D97" s="706">
        <f>'06_18 prac'!L130</f>
        <v>0</v>
      </c>
      <c r="E97" s="842">
        <f t="shared" si="1"/>
        <v>0</v>
      </c>
    </row>
    <row r="98" spans="1:5" ht="19.5" customHeight="1">
      <c r="A98" s="711" t="s">
        <v>8</v>
      </c>
      <c r="B98" s="716">
        <v>7000</v>
      </c>
      <c r="C98" s="716">
        <v>7000</v>
      </c>
      <c r="D98" s="706">
        <f>'06_18 prac'!L133</f>
        <v>686</v>
      </c>
      <c r="E98" s="842">
        <f t="shared" si="1"/>
        <v>0.098</v>
      </c>
    </row>
    <row r="99" spans="1:5" ht="19.5" customHeight="1">
      <c r="A99" s="711" t="s">
        <v>398</v>
      </c>
      <c r="B99" s="716">
        <v>100000</v>
      </c>
      <c r="C99" s="716">
        <v>100000</v>
      </c>
      <c r="D99" s="706">
        <f>'06_18 prac'!L134</f>
        <v>14218</v>
      </c>
      <c r="E99" s="842">
        <f t="shared" si="1"/>
        <v>0.14218</v>
      </c>
    </row>
    <row r="100" spans="1:5" ht="19.5" customHeight="1">
      <c r="A100" s="711" t="s">
        <v>10</v>
      </c>
      <c r="B100" s="716">
        <v>590481</v>
      </c>
      <c r="C100" s="716">
        <v>590481</v>
      </c>
      <c r="D100" s="706">
        <f>'06_18 prac'!L136</f>
        <v>211457</v>
      </c>
      <c r="E100" s="842">
        <f t="shared" si="1"/>
        <v>0.3581097444286946</v>
      </c>
    </row>
    <row r="101" spans="1:5" ht="19.5" customHeight="1">
      <c r="A101" s="729" t="s">
        <v>399</v>
      </c>
      <c r="B101" s="716">
        <v>24766</v>
      </c>
      <c r="C101" s="716">
        <v>24766</v>
      </c>
      <c r="D101" s="706">
        <f>'06_18 prac'!L132</f>
        <v>12402</v>
      </c>
      <c r="E101" s="842">
        <f t="shared" si="1"/>
        <v>0.5007671808124041</v>
      </c>
    </row>
    <row r="102" spans="1:5" ht="19.5" customHeight="1" hidden="1">
      <c r="A102" s="729" t="s">
        <v>197</v>
      </c>
      <c r="B102" s="716"/>
      <c r="C102" s="716"/>
      <c r="D102" s="710"/>
      <c r="E102" s="710"/>
    </row>
    <row r="103" spans="1:5" ht="19.5" customHeight="1" hidden="1">
      <c r="A103" s="707" t="s">
        <v>9</v>
      </c>
      <c r="B103" s="716"/>
      <c r="C103" s="716"/>
      <c r="D103" s="710"/>
      <c r="E103" s="710"/>
    </row>
    <row r="104" spans="1:5" ht="19.5" customHeight="1">
      <c r="A104" s="707" t="s">
        <v>426</v>
      </c>
      <c r="B104" s="716"/>
      <c r="C104" s="716">
        <v>30000</v>
      </c>
      <c r="D104" s="710"/>
      <c r="E104" s="710"/>
    </row>
    <row r="105" spans="1:5" ht="19.5" customHeight="1">
      <c r="A105" s="827" t="s">
        <v>2</v>
      </c>
      <c r="B105" s="828">
        <f>SUM(B93:B103)</f>
        <v>915247</v>
      </c>
      <c r="C105" s="828">
        <f>SUM(C93:C104)</f>
        <v>945247</v>
      </c>
      <c r="D105" s="706">
        <f>SUM(D93:D101)</f>
        <v>309963</v>
      </c>
      <c r="E105" s="842">
        <f>D105/C105</f>
        <v>0.32791746495889434</v>
      </c>
    </row>
    <row r="106" spans="1:3" ht="19.5" customHeight="1">
      <c r="A106" s="717"/>
      <c r="B106" s="718"/>
      <c r="C106" s="718"/>
    </row>
    <row r="107" spans="1:3" ht="19.5" customHeight="1">
      <c r="A107" s="717"/>
      <c r="B107" s="718"/>
      <c r="C107" s="718"/>
    </row>
    <row r="108" spans="1:5" ht="19.5" customHeight="1">
      <c r="A108" s="882" t="s">
        <v>379</v>
      </c>
      <c r="B108" s="883" t="s">
        <v>409</v>
      </c>
      <c r="C108" s="883" t="s">
        <v>412</v>
      </c>
      <c r="D108" s="876" t="s">
        <v>439</v>
      </c>
      <c r="E108" s="876" t="s">
        <v>415</v>
      </c>
    </row>
    <row r="109" spans="1:5" ht="19.5" customHeight="1">
      <c r="A109" s="882"/>
      <c r="B109" s="883"/>
      <c r="C109" s="883"/>
      <c r="D109" s="877"/>
      <c r="E109" s="877"/>
    </row>
    <row r="110" spans="1:5" ht="19.5" customHeight="1">
      <c r="A110" s="882"/>
      <c r="B110" s="883"/>
      <c r="C110" s="883"/>
      <c r="D110" s="878"/>
      <c r="E110" s="878"/>
    </row>
    <row r="111" spans="1:5" ht="19.5" customHeight="1">
      <c r="A111" s="711" t="s">
        <v>4</v>
      </c>
      <c r="B111" s="730">
        <v>850481</v>
      </c>
      <c r="C111" s="730">
        <v>850481</v>
      </c>
      <c r="D111" s="706">
        <f>'06_18 prac'!L144</f>
        <v>425240</v>
      </c>
      <c r="E111" s="842">
        <f>D111/C111</f>
        <v>0.4999994120973896</v>
      </c>
    </row>
    <row r="112" spans="1:5" ht="19.5" customHeight="1">
      <c r="A112" s="729" t="s">
        <v>399</v>
      </c>
      <c r="B112" s="730">
        <v>24766</v>
      </c>
      <c r="C112" s="730">
        <v>24766</v>
      </c>
      <c r="D112" s="706"/>
      <c r="E112" s="842">
        <f>D112/C112</f>
        <v>0</v>
      </c>
    </row>
    <row r="113" spans="1:5" ht="19.5" customHeight="1">
      <c r="A113" s="711" t="s">
        <v>11</v>
      </c>
      <c r="B113" s="730">
        <v>40000</v>
      </c>
      <c r="C113" s="730">
        <v>40000</v>
      </c>
      <c r="D113" s="706">
        <f>'06_18 prac'!L140</f>
        <v>7760</v>
      </c>
      <c r="E113" s="842">
        <f>D113/C113</f>
        <v>0.194</v>
      </c>
    </row>
    <row r="114" spans="1:5" ht="19.5" customHeight="1">
      <c r="A114" s="707" t="s">
        <v>426</v>
      </c>
      <c r="B114" s="716"/>
      <c r="C114" s="716">
        <v>30000</v>
      </c>
      <c r="D114" s="706"/>
      <c r="E114" s="842"/>
    </row>
    <row r="115" spans="1:5" ht="19.5" customHeight="1">
      <c r="A115" s="715" t="s">
        <v>5</v>
      </c>
      <c r="B115" s="716">
        <f>SUM(B110:B113)</f>
        <v>915247</v>
      </c>
      <c r="C115" s="716">
        <f>SUM(C110:C114)</f>
        <v>945247</v>
      </c>
      <c r="D115" s="706">
        <f>SUM(D111:D113)</f>
        <v>433000</v>
      </c>
      <c r="E115" s="842">
        <f>D115/C115</f>
        <v>0.4580813268912782</v>
      </c>
    </row>
    <row r="116" spans="1:3" ht="19.5" customHeight="1">
      <c r="A116" s="717"/>
      <c r="B116" s="718"/>
      <c r="C116" s="718"/>
    </row>
    <row r="117" spans="4:5" ht="19.5" customHeight="1">
      <c r="D117" s="702"/>
      <c r="E117" s="702"/>
    </row>
    <row r="118" spans="1:5" s="52" customFormat="1" ht="19.5" customHeight="1">
      <c r="A118" s="885" t="s">
        <v>418</v>
      </c>
      <c r="B118" s="885"/>
      <c r="C118" s="885"/>
      <c r="D118" s="885"/>
      <c r="E118" s="702"/>
    </row>
    <row r="119" spans="1:5" s="52" customFormat="1" ht="19.5" customHeight="1">
      <c r="A119" s="886" t="s">
        <v>0</v>
      </c>
      <c r="B119" s="883" t="s">
        <v>409</v>
      </c>
      <c r="C119" s="883" t="s">
        <v>412</v>
      </c>
      <c r="D119" s="876" t="s">
        <v>439</v>
      </c>
      <c r="E119" s="876" t="s">
        <v>415</v>
      </c>
    </row>
    <row r="120" spans="1:5" s="52" customFormat="1" ht="19.5" customHeight="1">
      <c r="A120" s="886"/>
      <c r="B120" s="883"/>
      <c r="C120" s="883"/>
      <c r="D120" s="877"/>
      <c r="E120" s="877"/>
    </row>
    <row r="121" spans="1:5" s="52" customFormat="1" ht="19.5" customHeight="1">
      <c r="A121" s="886"/>
      <c r="B121" s="883"/>
      <c r="C121" s="883"/>
      <c r="D121" s="878"/>
      <c r="E121" s="878"/>
    </row>
    <row r="122" spans="1:5" s="52" customFormat="1" ht="19.5" customHeight="1">
      <c r="A122" s="715" t="s">
        <v>371</v>
      </c>
      <c r="B122" s="728">
        <v>85000</v>
      </c>
      <c r="C122" s="728">
        <v>85000</v>
      </c>
      <c r="D122" s="731">
        <f>'06_18 prac'!L152+'06_18 prac'!L153+'06_18 prac'!L154</f>
        <v>29125</v>
      </c>
      <c r="E122" s="842">
        <f aca="true" t="shared" si="2" ref="E122:E132">D122/C122</f>
        <v>0.3426470588235294</v>
      </c>
    </row>
    <row r="123" spans="1:5" s="52" customFormat="1" ht="19.5" customHeight="1" hidden="1">
      <c r="A123" s="707" t="s">
        <v>372</v>
      </c>
      <c r="B123" s="716">
        <v>0</v>
      </c>
      <c r="C123" s="716">
        <v>0</v>
      </c>
      <c r="D123" s="716"/>
      <c r="E123" s="842" t="e">
        <f t="shared" si="2"/>
        <v>#DIV/0!</v>
      </c>
    </row>
    <row r="124" spans="1:5" s="52" customFormat="1" ht="19.5" customHeight="1" hidden="1">
      <c r="A124" s="707" t="s">
        <v>373</v>
      </c>
      <c r="B124" s="716">
        <v>0</v>
      </c>
      <c r="C124" s="716">
        <v>0</v>
      </c>
      <c r="D124" s="716"/>
      <c r="E124" s="842" t="e">
        <f t="shared" si="2"/>
        <v>#DIV/0!</v>
      </c>
    </row>
    <row r="125" spans="1:5" s="52" customFormat="1" ht="19.5" customHeight="1" hidden="1">
      <c r="A125" s="707" t="s">
        <v>397</v>
      </c>
      <c r="B125" s="716">
        <v>0</v>
      </c>
      <c r="C125" s="716">
        <v>0</v>
      </c>
      <c r="D125" s="716"/>
      <c r="E125" s="842" t="e">
        <f t="shared" si="2"/>
        <v>#DIV/0!</v>
      </c>
    </row>
    <row r="126" spans="1:5" s="52" customFormat="1" ht="19.5" customHeight="1">
      <c r="A126" s="711" t="s">
        <v>1</v>
      </c>
      <c r="B126" s="716">
        <v>5000</v>
      </c>
      <c r="C126" s="716">
        <v>5000</v>
      </c>
      <c r="D126" s="725">
        <f>'06_18 prac'!L155</f>
        <v>2481</v>
      </c>
      <c r="E126" s="842">
        <f t="shared" si="2"/>
        <v>0.4962</v>
      </c>
    </row>
    <row r="127" spans="1:5" s="52" customFormat="1" ht="19.5" customHeight="1">
      <c r="A127" s="711" t="s">
        <v>8</v>
      </c>
      <c r="B127" s="716">
        <v>50000</v>
      </c>
      <c r="C127" s="716">
        <v>50000</v>
      </c>
      <c r="D127" s="725">
        <f>'06_18 prac'!L156</f>
        <v>-38322</v>
      </c>
      <c r="E127" s="842">
        <f t="shared" si="2"/>
        <v>-0.76644</v>
      </c>
    </row>
    <row r="128" spans="1:5" s="52" customFormat="1" ht="19.5" customHeight="1">
      <c r="A128" s="711" t="s">
        <v>9</v>
      </c>
      <c r="B128" s="716">
        <v>10000</v>
      </c>
      <c r="C128" s="716">
        <v>10000</v>
      </c>
      <c r="D128" s="725">
        <f>'06_18 prac'!L157</f>
        <v>0</v>
      </c>
      <c r="E128" s="842">
        <f t="shared" si="2"/>
        <v>0</v>
      </c>
    </row>
    <row r="129" spans="1:5" s="52" customFormat="1" ht="19.5" customHeight="1">
      <c r="A129" s="711" t="s">
        <v>16</v>
      </c>
      <c r="B129" s="716">
        <v>200000</v>
      </c>
      <c r="C129" s="716">
        <v>200000</v>
      </c>
      <c r="D129" s="725">
        <f>'06_18 prac'!L158</f>
        <v>25488</v>
      </c>
      <c r="E129" s="842">
        <f t="shared" si="2"/>
        <v>0.12744</v>
      </c>
    </row>
    <row r="130" spans="1:5" s="52" customFormat="1" ht="19.5" customHeight="1">
      <c r="A130" s="711" t="s">
        <v>10</v>
      </c>
      <c r="B130" s="716">
        <v>1131691</v>
      </c>
      <c r="C130" s="716">
        <v>1131692</v>
      </c>
      <c r="D130" s="725">
        <f>'06_18 prac'!L164</f>
        <v>524031</v>
      </c>
      <c r="E130" s="842">
        <f t="shared" si="2"/>
        <v>0.46305090077512256</v>
      </c>
    </row>
    <row r="131" spans="1:5" s="52" customFormat="1" ht="19.5" customHeight="1">
      <c r="A131" s="711" t="s">
        <v>400</v>
      </c>
      <c r="B131" s="716">
        <v>263000</v>
      </c>
      <c r="C131" s="716">
        <v>263000</v>
      </c>
      <c r="D131" s="725">
        <f>'06_18 prac'!L160+'06_18 prac'!L161+'06_18 prac'!L162+'06_18 prac'!L163</f>
        <v>46321</v>
      </c>
      <c r="E131" s="842">
        <f t="shared" si="2"/>
        <v>0.1761254752851711</v>
      </c>
    </row>
    <row r="132" spans="1:5" s="52" customFormat="1" ht="19.5" customHeight="1">
      <c r="A132" s="827" t="s">
        <v>2</v>
      </c>
      <c r="B132" s="828">
        <f>SUM(B122:B131)</f>
        <v>1744691</v>
      </c>
      <c r="C132" s="716">
        <f>SUM(C122:C131)</f>
        <v>1744692</v>
      </c>
      <c r="D132" s="731">
        <f>SUM(D122:D131)</f>
        <v>589124</v>
      </c>
      <c r="E132" s="842">
        <f t="shared" si="2"/>
        <v>0.33766647637519975</v>
      </c>
    </row>
    <row r="133" spans="1:5" s="52" customFormat="1" ht="19.5" customHeight="1">
      <c r="A133" s="717"/>
      <c r="B133" s="718"/>
      <c r="C133" s="718"/>
      <c r="D133" s="703"/>
      <c r="E133" s="703"/>
    </row>
    <row r="134" spans="1:5" s="52" customFormat="1" ht="19.5" customHeight="1">
      <c r="A134" s="717"/>
      <c r="B134" s="718"/>
      <c r="C134" s="718"/>
      <c r="D134" s="703"/>
      <c r="E134" s="703"/>
    </row>
    <row r="135" spans="1:5" s="52" customFormat="1" ht="19.5" customHeight="1">
      <c r="A135" s="882" t="s">
        <v>379</v>
      </c>
      <c r="B135" s="883" t="s">
        <v>409</v>
      </c>
      <c r="C135" s="883" t="s">
        <v>412</v>
      </c>
      <c r="D135" s="876" t="s">
        <v>439</v>
      </c>
      <c r="E135" s="876" t="s">
        <v>415</v>
      </c>
    </row>
    <row r="136" spans="1:5" s="52" customFormat="1" ht="19.5" customHeight="1">
      <c r="A136" s="882"/>
      <c r="B136" s="883"/>
      <c r="C136" s="883"/>
      <c r="D136" s="877"/>
      <c r="E136" s="877"/>
    </row>
    <row r="137" spans="1:5" s="52" customFormat="1" ht="19.5" customHeight="1">
      <c r="A137" s="882"/>
      <c r="B137" s="883"/>
      <c r="C137" s="883"/>
      <c r="D137" s="878"/>
      <c r="E137" s="878"/>
    </row>
    <row r="138" spans="1:5" s="52" customFormat="1" ht="19.5" customHeight="1">
      <c r="A138" s="711" t="s">
        <v>11</v>
      </c>
      <c r="B138" s="716">
        <v>380000</v>
      </c>
      <c r="C138" s="716">
        <v>380000</v>
      </c>
      <c r="D138" s="725">
        <f>'06_18 prac'!L168</f>
        <v>77145</v>
      </c>
      <c r="E138" s="842">
        <f aca="true" t="shared" si="3" ref="E138:E144">D138/C138</f>
        <v>0.20301315789473684</v>
      </c>
    </row>
    <row r="139" spans="1:5" s="52" customFormat="1" ht="19.5" customHeight="1">
      <c r="A139" s="711" t="s">
        <v>4</v>
      </c>
      <c r="B139" s="716">
        <v>1364691</v>
      </c>
      <c r="C139" s="716">
        <v>1364691</v>
      </c>
      <c r="D139" s="725">
        <f>'06_18 prac'!L171+'06_18 prac'!L173+'06_18 prac'!L174+'06_18 prac'!L176+'06_18 prac'!L177</f>
        <v>692344</v>
      </c>
      <c r="E139" s="842">
        <f t="shared" si="3"/>
        <v>0.5073265669664415</v>
      </c>
    </row>
    <row r="140" spans="1:5" s="52" customFormat="1" ht="19.5" customHeight="1" hidden="1">
      <c r="A140" s="707" t="s">
        <v>401</v>
      </c>
      <c r="B140" s="716"/>
      <c r="C140" s="716"/>
      <c r="D140" s="725"/>
      <c r="E140" s="842" t="e">
        <f t="shared" si="3"/>
        <v>#DIV/0!</v>
      </c>
    </row>
    <row r="141" spans="1:5" s="52" customFormat="1" ht="19.5" customHeight="1" hidden="1">
      <c r="A141" s="707" t="s">
        <v>402</v>
      </c>
      <c r="B141" s="716"/>
      <c r="C141" s="716"/>
      <c r="D141" s="725"/>
      <c r="E141" s="842" t="e">
        <f t="shared" si="3"/>
        <v>#DIV/0!</v>
      </c>
    </row>
    <row r="142" spans="1:5" s="52" customFormat="1" ht="19.5" customHeight="1" hidden="1">
      <c r="A142" s="707" t="s">
        <v>403</v>
      </c>
      <c r="B142" s="716"/>
      <c r="C142" s="716"/>
      <c r="D142" s="725"/>
      <c r="E142" s="842" t="e">
        <f t="shared" si="3"/>
        <v>#DIV/0!</v>
      </c>
    </row>
    <row r="143" spans="1:5" s="52" customFormat="1" ht="19.5" customHeight="1" hidden="1">
      <c r="A143" s="707" t="s">
        <v>404</v>
      </c>
      <c r="B143" s="716"/>
      <c r="C143" s="716"/>
      <c r="D143" s="725"/>
      <c r="E143" s="842" t="e">
        <f t="shared" si="3"/>
        <v>#DIV/0!</v>
      </c>
    </row>
    <row r="144" spans="1:5" s="52" customFormat="1" ht="19.5" customHeight="1">
      <c r="A144" s="827" t="s">
        <v>5</v>
      </c>
      <c r="B144" s="828">
        <f>SUM(B138:B143)</f>
        <v>1744691</v>
      </c>
      <c r="C144" s="716">
        <f>SUM(C138:C143)</f>
        <v>1744691</v>
      </c>
      <c r="D144" s="731">
        <f>SUM(D138:D143)</f>
        <v>769489</v>
      </c>
      <c r="E144" s="842">
        <f t="shared" si="3"/>
        <v>0.441046007573834</v>
      </c>
    </row>
    <row r="145" spans="1:5" s="52" customFormat="1" ht="19.5" customHeight="1">
      <c r="A145" s="717"/>
      <c r="B145" s="514"/>
      <c r="C145" s="514"/>
      <c r="D145" s="502"/>
      <c r="E145" s="502"/>
    </row>
    <row r="146" spans="1:5" s="52" customFormat="1" ht="19.5" customHeight="1">
      <c r="A146" s="717"/>
      <c r="B146" s="514"/>
      <c r="C146" s="514"/>
      <c r="D146" s="502"/>
      <c r="E146" s="502"/>
    </row>
    <row r="147" spans="1:5" ht="19.5" customHeight="1">
      <c r="A147" s="885" t="s">
        <v>419</v>
      </c>
      <c r="B147" s="885"/>
      <c r="C147" s="885"/>
      <c r="D147" s="885"/>
      <c r="E147" s="702"/>
    </row>
    <row r="148" spans="1:5" ht="19.5" customHeight="1">
      <c r="A148" s="886" t="s">
        <v>0</v>
      </c>
      <c r="B148" s="883" t="s">
        <v>409</v>
      </c>
      <c r="C148" s="883" t="s">
        <v>412</v>
      </c>
      <c r="D148" s="876" t="s">
        <v>439</v>
      </c>
      <c r="E148" s="876" t="s">
        <v>415</v>
      </c>
    </row>
    <row r="149" spans="1:5" ht="19.5" customHeight="1">
      <c r="A149" s="886"/>
      <c r="B149" s="883"/>
      <c r="C149" s="883"/>
      <c r="D149" s="877"/>
      <c r="E149" s="877"/>
    </row>
    <row r="150" spans="1:5" ht="19.5" customHeight="1">
      <c r="A150" s="886"/>
      <c r="B150" s="883"/>
      <c r="C150" s="883"/>
      <c r="D150" s="878"/>
      <c r="E150" s="878"/>
    </row>
    <row r="151" spans="1:5" ht="19.5" customHeight="1">
      <c r="A151" s="711" t="s">
        <v>1</v>
      </c>
      <c r="B151" s="716">
        <v>5000</v>
      </c>
      <c r="C151" s="716">
        <v>5000</v>
      </c>
      <c r="D151" s="725">
        <f>'06_18 prac'!L186</f>
        <v>0</v>
      </c>
      <c r="E151" s="842">
        <f aca="true" t="shared" si="4" ref="E151:E159">D151/C151</f>
        <v>0</v>
      </c>
    </row>
    <row r="152" spans="1:5" ht="19.5" customHeight="1">
      <c r="A152" s="711" t="s">
        <v>8</v>
      </c>
      <c r="B152" s="716">
        <v>20000</v>
      </c>
      <c r="C152" s="716">
        <v>20000</v>
      </c>
      <c r="D152" s="725">
        <f>'06_18 prac'!L187</f>
        <v>1260</v>
      </c>
      <c r="E152" s="842">
        <f t="shared" si="4"/>
        <v>0.063</v>
      </c>
    </row>
    <row r="153" spans="1:5" ht="19.5" customHeight="1">
      <c r="A153" s="711" t="s">
        <v>398</v>
      </c>
      <c r="B153" s="716">
        <v>20000</v>
      </c>
      <c r="C153" s="716">
        <v>20000</v>
      </c>
      <c r="D153" s="725">
        <f>'06_18 prac'!L189</f>
        <v>10261</v>
      </c>
      <c r="E153" s="842">
        <f t="shared" si="4"/>
        <v>0.51305</v>
      </c>
    </row>
    <row r="154" spans="1:5" ht="19.5" customHeight="1">
      <c r="A154" s="711" t="s">
        <v>9</v>
      </c>
      <c r="B154" s="716">
        <v>5000</v>
      </c>
      <c r="C154" s="716">
        <v>5000</v>
      </c>
      <c r="D154" s="725">
        <f>'06_18 prac'!L188</f>
        <v>0</v>
      </c>
      <c r="E154" s="842">
        <f t="shared" si="4"/>
        <v>0</v>
      </c>
    </row>
    <row r="155" spans="1:5" ht="19.5" customHeight="1">
      <c r="A155" s="711" t="s">
        <v>10</v>
      </c>
      <c r="B155" s="716">
        <v>1108312</v>
      </c>
      <c r="C155" s="716">
        <v>1108312</v>
      </c>
      <c r="D155" s="725">
        <f>'06_18 prac'!L190</f>
        <v>476726</v>
      </c>
      <c r="E155" s="842">
        <f t="shared" si="4"/>
        <v>0.43013700113325487</v>
      </c>
    </row>
    <row r="156" spans="1:5" ht="19.5" customHeight="1">
      <c r="A156" s="715" t="s">
        <v>405</v>
      </c>
      <c r="B156" s="716">
        <v>80000</v>
      </c>
      <c r="C156" s="716">
        <v>80000</v>
      </c>
      <c r="D156" s="725">
        <f>'06_18 prac'!L191</f>
        <v>46326</v>
      </c>
      <c r="E156" s="842">
        <f t="shared" si="4"/>
        <v>0.579075</v>
      </c>
    </row>
    <row r="157" spans="1:5" ht="19.5" customHeight="1">
      <c r="A157" s="715" t="s">
        <v>406</v>
      </c>
      <c r="B157" s="716">
        <v>180000</v>
      </c>
      <c r="C157" s="716">
        <v>180000</v>
      </c>
      <c r="D157" s="725">
        <f>'06_18 prac'!L193</f>
        <v>86805</v>
      </c>
      <c r="E157" s="842">
        <f t="shared" si="4"/>
        <v>0.48225</v>
      </c>
    </row>
    <row r="158" spans="1:5" ht="19.5" customHeight="1">
      <c r="A158" s="715" t="s">
        <v>420</v>
      </c>
      <c r="B158" s="716">
        <v>30000</v>
      </c>
      <c r="C158" s="716">
        <v>30000</v>
      </c>
      <c r="D158" s="725">
        <f>'06_18 prac'!L192</f>
        <v>7283</v>
      </c>
      <c r="E158" s="842">
        <f t="shared" si="4"/>
        <v>0.24276666666666666</v>
      </c>
    </row>
    <row r="159" spans="1:5" ht="19.5" customHeight="1">
      <c r="A159" s="827" t="s">
        <v>2</v>
      </c>
      <c r="B159" s="828">
        <f>SUM(B151:B158)</f>
        <v>1448312</v>
      </c>
      <c r="C159" s="716">
        <f>SUM(C151:C158)</f>
        <v>1448312</v>
      </c>
      <c r="D159" s="731">
        <f>SUM(D151:D158)</f>
        <v>628661</v>
      </c>
      <c r="E159" s="842">
        <f t="shared" si="4"/>
        <v>0.4340646214351604</v>
      </c>
    </row>
    <row r="160" spans="1:3" ht="19.5" customHeight="1">
      <c r="A160" s="717"/>
      <c r="B160" s="718"/>
      <c r="C160" s="718"/>
    </row>
    <row r="161" spans="1:5" ht="19.5" customHeight="1">
      <c r="A161" s="882" t="s">
        <v>379</v>
      </c>
      <c r="B161" s="883" t="s">
        <v>409</v>
      </c>
      <c r="C161" s="883" t="s">
        <v>412</v>
      </c>
      <c r="D161" s="876" t="s">
        <v>439</v>
      </c>
      <c r="E161" s="876" t="s">
        <v>415</v>
      </c>
    </row>
    <row r="162" spans="1:5" ht="19.5" customHeight="1">
      <c r="A162" s="882"/>
      <c r="B162" s="883"/>
      <c r="C162" s="883"/>
      <c r="D162" s="877"/>
      <c r="E162" s="877"/>
    </row>
    <row r="163" spans="1:5" ht="19.5" customHeight="1">
      <c r="A163" s="882"/>
      <c r="B163" s="883"/>
      <c r="C163" s="883"/>
      <c r="D163" s="878"/>
      <c r="E163" s="878"/>
    </row>
    <row r="164" spans="1:5" ht="19.5" customHeight="1">
      <c r="A164" s="711" t="s">
        <v>4</v>
      </c>
      <c r="B164" s="716">
        <v>1448312</v>
      </c>
      <c r="C164" s="716">
        <v>1448312</v>
      </c>
      <c r="D164" s="706">
        <f>'06_18 prac'!L200+'06_18 prac'!L197+'06_18 prac'!L198+'06_18 prac'!L199</f>
        <v>724158</v>
      </c>
      <c r="E164" s="842">
        <f>D164/C164</f>
        <v>0.5000013809179238</v>
      </c>
    </row>
    <row r="165" spans="1:5" ht="19.5" customHeight="1" hidden="1">
      <c r="A165" s="723" t="s">
        <v>408</v>
      </c>
      <c r="B165" s="716"/>
      <c r="C165" s="716"/>
      <c r="D165" s="706"/>
      <c r="E165" s="842" t="e">
        <f>D165/C165</f>
        <v>#DIV/0!</v>
      </c>
    </row>
    <row r="166" spans="1:5" ht="19.5" customHeight="1" hidden="1">
      <c r="A166" s="723" t="s">
        <v>63</v>
      </c>
      <c r="B166" s="716"/>
      <c r="C166" s="716"/>
      <c r="D166" s="706"/>
      <c r="E166" s="842" t="e">
        <f>D166/C166</f>
        <v>#DIV/0!</v>
      </c>
    </row>
    <row r="167" spans="1:5" ht="19.5" customHeight="1" hidden="1">
      <c r="A167" s="723" t="s">
        <v>407</v>
      </c>
      <c r="B167" s="716"/>
      <c r="C167" s="716"/>
      <c r="D167" s="706"/>
      <c r="E167" s="842" t="e">
        <f>D167/C167</f>
        <v>#DIV/0!</v>
      </c>
    </row>
    <row r="168" spans="1:5" ht="19.5" customHeight="1">
      <c r="A168" s="715" t="s">
        <v>5</v>
      </c>
      <c r="B168" s="716">
        <f>SUM(B164:B167)</f>
        <v>1448312</v>
      </c>
      <c r="C168" s="716">
        <f>SUM(C164:C167)</f>
        <v>1448312</v>
      </c>
      <c r="D168" s="706">
        <f>SUM(D164:D167)</f>
        <v>724158</v>
      </c>
      <c r="E168" s="842">
        <f>D168/C168</f>
        <v>0.5000013809179238</v>
      </c>
    </row>
    <row r="169" spans="1:5" s="52" customFormat="1" ht="19.5" customHeight="1">
      <c r="A169" s="717"/>
      <c r="B169" s="514"/>
      <c r="C169" s="514"/>
      <c r="D169" s="502"/>
      <c r="E169" s="502"/>
    </row>
    <row r="170" spans="1:3" ht="19.5" customHeight="1">
      <c r="A170" s="717"/>
      <c r="B170" s="718"/>
      <c r="C170" s="718"/>
    </row>
    <row r="171" spans="1:4" ht="19.5" customHeight="1">
      <c r="A171" s="717" t="s">
        <v>421</v>
      </c>
      <c r="B171" s="718">
        <f>B164+B139+B111+B112+B41+B42</f>
        <v>14798774</v>
      </c>
      <c r="C171" s="514">
        <f>C164+C139+C111+C112+C41+C42</f>
        <v>15448774</v>
      </c>
      <c r="D171" s="514">
        <f>D164+D139+D111+D112+D41+D42</f>
        <v>7007061</v>
      </c>
    </row>
    <row r="172" spans="1:3" ht="19.5" customHeight="1">
      <c r="A172" s="717"/>
      <c r="B172" s="718"/>
      <c r="C172" s="718"/>
    </row>
    <row r="173" spans="1:3" ht="19.5" customHeight="1">
      <c r="A173" s="717"/>
      <c r="B173" s="718"/>
      <c r="C173" s="718"/>
    </row>
    <row r="174" spans="1:3" ht="19.5" customHeight="1">
      <c r="A174" s="717"/>
      <c r="B174" s="718"/>
      <c r="C174" s="718"/>
    </row>
    <row r="175" spans="1:3" ht="19.5" customHeight="1">
      <c r="A175" s="717"/>
      <c r="B175" s="718"/>
      <c r="C175" s="718"/>
    </row>
    <row r="176" ht="19.5" customHeight="1"/>
    <row r="177" spans="1:3" s="703" customFormat="1" ht="19.5" customHeight="1">
      <c r="A177" s="732"/>
      <c r="B177" s="733"/>
      <c r="C177" s="734"/>
    </row>
    <row r="178" spans="1:2" s="703" customFormat="1" ht="19.5" customHeight="1">
      <c r="A178" s="717"/>
      <c r="B178" s="735"/>
    </row>
    <row r="179" spans="1:2" s="703" customFormat="1" ht="19.5" customHeight="1">
      <c r="A179" s="720"/>
      <c r="B179" s="735"/>
    </row>
    <row r="180" spans="1:7" s="703" customFormat="1" ht="19.5" customHeight="1">
      <c r="A180" s="717"/>
      <c r="B180" s="733"/>
      <c r="G180" s="25"/>
    </row>
    <row r="181" spans="1:7" s="703" customFormat="1" ht="19.5" customHeight="1">
      <c r="A181" s="732"/>
      <c r="B181" s="733"/>
      <c r="G181" s="25"/>
    </row>
    <row r="182" spans="1:7" s="703" customFormat="1" ht="19.5" customHeight="1">
      <c r="A182" s="131"/>
      <c r="B182" s="733"/>
      <c r="G182" s="514"/>
    </row>
    <row r="183" spans="1:7" s="703" customFormat="1" ht="19.5" customHeight="1">
      <c r="A183" s="131"/>
      <c r="B183" s="733"/>
      <c r="G183" s="514"/>
    </row>
    <row r="184" spans="1:7" s="703" customFormat="1" ht="19.5" customHeight="1">
      <c r="A184" s="131"/>
      <c r="B184" s="733"/>
      <c r="G184" s="25"/>
    </row>
    <row r="185" spans="1:7" s="703" customFormat="1" ht="19.5" customHeight="1">
      <c r="A185" s="131"/>
      <c r="B185" s="733"/>
      <c r="G185" s="25"/>
    </row>
    <row r="186" spans="1:2" s="703" customFormat="1" ht="19.5" customHeight="1">
      <c r="A186" s="131"/>
      <c r="B186" s="733"/>
    </row>
    <row r="187" spans="1:2" s="703" customFormat="1" ht="19.5" customHeight="1">
      <c r="A187" s="131"/>
      <c r="B187" s="733"/>
    </row>
    <row r="188" spans="1:2" s="703" customFormat="1" ht="19.5" customHeight="1">
      <c r="A188" s="736"/>
      <c r="B188" s="733"/>
    </row>
    <row r="189" spans="1:2" s="703" customFormat="1" ht="19.5" customHeight="1">
      <c r="A189" s="737"/>
      <c r="B189" s="733"/>
    </row>
    <row r="190" spans="1:3" s="703" customFormat="1" ht="19.5" customHeight="1">
      <c r="A190" s="25"/>
      <c r="B190" s="733"/>
      <c r="C190" s="734"/>
    </row>
    <row r="191" spans="1:3" s="703" customFormat="1" ht="19.5" customHeight="1">
      <c r="A191" s="738"/>
      <c r="B191" s="733"/>
      <c r="C191" s="734"/>
    </row>
    <row r="192" spans="1:3" s="703" customFormat="1" ht="19.5" customHeight="1">
      <c r="A192" s="25"/>
      <c r="B192" s="733"/>
      <c r="C192" s="734"/>
    </row>
    <row r="193" spans="1:3" s="703" customFormat="1" ht="19.5" customHeight="1">
      <c r="A193" s="131"/>
      <c r="B193" s="733"/>
      <c r="C193" s="734"/>
    </row>
    <row r="194" spans="1:3" s="703" customFormat="1" ht="19.5" customHeight="1">
      <c r="A194" s="720"/>
      <c r="B194" s="733"/>
      <c r="C194" s="734"/>
    </row>
    <row r="195" spans="1:7" s="703" customFormat="1" ht="19.5" customHeight="1">
      <c r="A195" s="720"/>
      <c r="B195" s="733"/>
      <c r="C195" s="734"/>
      <c r="G195" s="739"/>
    </row>
    <row r="196" spans="1:7" s="703" customFormat="1" ht="19.5" customHeight="1">
      <c r="A196" s="720"/>
      <c r="B196" s="733"/>
      <c r="C196" s="734"/>
      <c r="G196" s="739"/>
    </row>
    <row r="197" spans="1:7" s="703" customFormat="1" ht="19.5" customHeight="1">
      <c r="A197" s="720"/>
      <c r="B197" s="733"/>
      <c r="C197" s="734"/>
      <c r="G197" s="739"/>
    </row>
    <row r="198" spans="1:7" s="703" customFormat="1" ht="19.5" customHeight="1">
      <c r="A198" s="720"/>
      <c r="B198" s="733"/>
      <c r="C198" s="734"/>
      <c r="G198" s="739"/>
    </row>
    <row r="199" spans="1:7" s="703" customFormat="1" ht="19.5" customHeight="1">
      <c r="A199" s="740"/>
      <c r="B199" s="733"/>
      <c r="C199" s="734"/>
      <c r="G199" s="739"/>
    </row>
    <row r="200" spans="1:7" s="703" customFormat="1" ht="19.5" customHeight="1">
      <c r="A200" s="720"/>
      <c r="B200" s="733"/>
      <c r="C200" s="734"/>
      <c r="G200" s="739"/>
    </row>
    <row r="201" spans="1:7" s="703" customFormat="1" ht="19.5" customHeight="1">
      <c r="A201" s="720"/>
      <c r="B201" s="733"/>
      <c r="C201" s="734"/>
      <c r="G201" s="739"/>
    </row>
    <row r="202" spans="1:7" s="703" customFormat="1" ht="19.5" customHeight="1">
      <c r="A202" s="720"/>
      <c r="B202" s="733"/>
      <c r="C202" s="734"/>
      <c r="G202" s="739"/>
    </row>
    <row r="203" spans="1:3" s="703" customFormat="1" ht="19.5" customHeight="1">
      <c r="A203" s="720"/>
      <c r="B203" s="733"/>
      <c r="C203" s="734"/>
    </row>
    <row r="204" spans="1:3" s="703" customFormat="1" ht="19.5" customHeight="1">
      <c r="A204" s="720"/>
      <c r="B204" s="733"/>
      <c r="C204" s="734"/>
    </row>
    <row r="205" spans="1:3" s="703" customFormat="1" ht="19.5" customHeight="1">
      <c r="A205" s="720"/>
      <c r="B205" s="733"/>
      <c r="C205" s="734"/>
    </row>
    <row r="206" spans="1:3" s="703" customFormat="1" ht="19.5" customHeight="1">
      <c r="A206" s="720"/>
      <c r="B206" s="733"/>
      <c r="C206" s="734"/>
    </row>
    <row r="207" spans="1:3" s="703" customFormat="1" ht="19.5" customHeight="1">
      <c r="A207" s="720"/>
      <c r="B207" s="733"/>
      <c r="C207" s="734"/>
    </row>
    <row r="208" spans="1:3" s="703" customFormat="1" ht="19.5" customHeight="1">
      <c r="A208" s="717"/>
      <c r="B208" s="733"/>
      <c r="C208" s="734"/>
    </row>
    <row r="209" spans="1:3" s="703" customFormat="1" ht="19.5" customHeight="1">
      <c r="A209" s="720"/>
      <c r="B209" s="733"/>
      <c r="C209" s="734"/>
    </row>
    <row r="210" spans="1:3" s="703" customFormat="1" ht="19.5" customHeight="1">
      <c r="A210" s="720"/>
      <c r="B210" s="733"/>
      <c r="C210" s="734"/>
    </row>
    <row r="211" spans="1:3" s="703" customFormat="1" ht="19.5" customHeight="1">
      <c r="A211" s="740"/>
      <c r="B211" s="733"/>
      <c r="C211" s="734"/>
    </row>
    <row r="212" spans="1:3" s="703" customFormat="1" ht="19.5" customHeight="1">
      <c r="A212" s="740"/>
      <c r="B212" s="733"/>
      <c r="C212" s="734"/>
    </row>
    <row r="213" spans="1:2" s="703" customFormat="1" ht="19.5" customHeight="1">
      <c r="A213" s="720"/>
      <c r="B213" s="733"/>
    </row>
    <row r="214" spans="1:2" s="703" customFormat="1" ht="19.5" customHeight="1">
      <c r="A214" s="720"/>
      <c r="B214" s="733"/>
    </row>
    <row r="215" spans="1:2" s="703" customFormat="1" ht="19.5" customHeight="1">
      <c r="A215" s="720"/>
      <c r="B215" s="733"/>
    </row>
    <row r="216" spans="1:2" s="703" customFormat="1" ht="19.5" customHeight="1">
      <c r="A216" s="720"/>
      <c r="B216" s="733"/>
    </row>
    <row r="217" spans="1:2" s="703" customFormat="1" ht="19.5" customHeight="1">
      <c r="A217" s="720"/>
      <c r="B217" s="733"/>
    </row>
    <row r="218" spans="1:3" s="703" customFormat="1" ht="19.5" customHeight="1">
      <c r="A218" s="702"/>
      <c r="B218" s="702"/>
      <c r="C218" s="702"/>
    </row>
    <row r="219" spans="1:3" s="703" customFormat="1" ht="19.5" customHeight="1">
      <c r="A219" s="717"/>
      <c r="B219" s="702"/>
      <c r="C219" s="702"/>
    </row>
    <row r="220" spans="1:3" s="703" customFormat="1" ht="19.5" customHeight="1">
      <c r="A220" s="717"/>
      <c r="B220" s="702"/>
      <c r="C220" s="702"/>
    </row>
    <row r="221" spans="1:3" s="703" customFormat="1" ht="19.5" customHeight="1">
      <c r="A221" s="25"/>
      <c r="B221" s="739"/>
      <c r="C221" s="702"/>
    </row>
    <row r="222" spans="1:3" s="703" customFormat="1" ht="19.5" customHeight="1">
      <c r="A222" s="25"/>
      <c r="B222" s="741"/>
      <c r="C222" s="25"/>
    </row>
    <row r="223" spans="1:3" s="703" customFormat="1" ht="19.5" customHeight="1">
      <c r="A223" s="25"/>
      <c r="B223" s="274"/>
      <c r="C223" s="25"/>
    </row>
    <row r="224" spans="1:3" s="703" customFormat="1" ht="19.5" customHeight="1">
      <c r="A224" s="131"/>
      <c r="B224" s="274"/>
      <c r="C224" s="25"/>
    </row>
    <row r="225" spans="1:3" s="703" customFormat="1" ht="19.5" customHeight="1">
      <c r="A225" s="131"/>
      <c r="B225" s="741"/>
      <c r="C225" s="25"/>
    </row>
    <row r="226" spans="1:3" s="703" customFormat="1" ht="19.5" customHeight="1">
      <c r="A226" s="131"/>
      <c r="B226" s="741"/>
      <c r="C226" s="25"/>
    </row>
    <row r="227" spans="1:3" s="703" customFormat="1" ht="19.5" customHeight="1">
      <c r="A227" s="131"/>
      <c r="B227" s="274"/>
      <c r="C227" s="25"/>
    </row>
    <row r="228" spans="1:3" s="703" customFormat="1" ht="19.5" customHeight="1">
      <c r="A228" s="131"/>
      <c r="B228" s="274"/>
      <c r="C228" s="25"/>
    </row>
    <row r="229" spans="1:3" s="703" customFormat="1" ht="19.5" customHeight="1">
      <c r="A229" s="131"/>
      <c r="B229" s="274"/>
      <c r="C229" s="25"/>
    </row>
    <row r="230" spans="1:3" s="703" customFormat="1" ht="19.5" customHeight="1">
      <c r="A230" s="131"/>
      <c r="B230" s="274"/>
      <c r="C230" s="25"/>
    </row>
    <row r="231" spans="1:3" s="703" customFormat="1" ht="19.5" customHeight="1">
      <c r="A231" s="131"/>
      <c r="B231" s="274"/>
      <c r="C231" s="25"/>
    </row>
    <row r="232" spans="1:3" s="703" customFormat="1" ht="19.5" customHeight="1">
      <c r="A232" s="52"/>
      <c r="B232" s="52"/>
      <c r="C232" s="25"/>
    </row>
    <row r="233" spans="1:3" s="703" customFormat="1" ht="19.5" customHeight="1">
      <c r="A233" s="717"/>
      <c r="B233" s="52"/>
      <c r="C233" s="25"/>
    </row>
    <row r="234" spans="1:3" s="703" customFormat="1" ht="19.5" customHeight="1">
      <c r="A234" s="717"/>
      <c r="B234" s="742"/>
      <c r="C234" s="25"/>
    </row>
    <row r="235" spans="1:3" ht="19.5" customHeight="1">
      <c r="A235" s="131"/>
      <c r="B235" s="741"/>
      <c r="C235" s="514"/>
    </row>
    <row r="236" spans="1:3" ht="19.5" customHeight="1">
      <c r="A236" s="131"/>
      <c r="B236" s="741"/>
      <c r="C236" s="514"/>
    </row>
    <row r="237" spans="1:3" s="703" customFormat="1" ht="19.5" customHeight="1">
      <c r="A237" s="131"/>
      <c r="B237" s="742"/>
      <c r="C237" s="25"/>
    </row>
    <row r="238" spans="1:3" s="703" customFormat="1" ht="19.5" customHeight="1">
      <c r="A238" s="131"/>
      <c r="B238" s="742"/>
      <c r="C238" s="25"/>
    </row>
    <row r="239" spans="1:2" s="703" customFormat="1" ht="19.5" customHeight="1">
      <c r="A239" s="131"/>
      <c r="B239" s="743"/>
    </row>
    <row r="240" spans="1:2" s="703" customFormat="1" ht="19.5" customHeight="1">
      <c r="A240" s="131"/>
      <c r="B240" s="743"/>
    </row>
    <row r="241" spans="1:2" s="703" customFormat="1" ht="19.5" customHeight="1">
      <c r="A241" s="25"/>
      <c r="B241" s="743"/>
    </row>
    <row r="242" spans="1:2" s="703" customFormat="1" ht="19.5" customHeight="1">
      <c r="A242" s="25"/>
      <c r="B242" s="744"/>
    </row>
    <row r="243" spans="1:2" s="703" customFormat="1" ht="19.5" customHeight="1">
      <c r="A243" s="25"/>
      <c r="B243" s="743"/>
    </row>
    <row r="244" spans="1:2" s="703" customFormat="1" ht="19.5" customHeight="1">
      <c r="A244" s="25"/>
      <c r="B244" s="744"/>
    </row>
    <row r="245" spans="1:2" s="703" customFormat="1" ht="19.5" customHeight="1">
      <c r="A245" s="25"/>
      <c r="B245" s="744"/>
    </row>
    <row r="246" spans="1:2" s="703" customFormat="1" ht="19.5" customHeight="1">
      <c r="A246" s="25"/>
      <c r="B246" s="744"/>
    </row>
    <row r="247" spans="1:2" s="703" customFormat="1" ht="19.5" customHeight="1">
      <c r="A247" s="717"/>
      <c r="B247" s="702"/>
    </row>
    <row r="248" spans="1:3" s="703" customFormat="1" ht="19.5" customHeight="1">
      <c r="A248" s="131"/>
      <c r="B248" s="739"/>
      <c r="C248" s="702"/>
    </row>
    <row r="249" spans="1:3" s="703" customFormat="1" ht="19.5" customHeight="1">
      <c r="A249" s="131"/>
      <c r="B249" s="739"/>
      <c r="C249" s="702"/>
    </row>
    <row r="250" spans="1:3" s="703" customFormat="1" ht="19.5" customHeight="1">
      <c r="A250" s="131"/>
      <c r="B250" s="739"/>
      <c r="C250" s="702"/>
    </row>
    <row r="251" spans="1:3" s="703" customFormat="1" ht="19.5" customHeight="1">
      <c r="A251" s="131"/>
      <c r="B251" s="739"/>
      <c r="C251" s="702"/>
    </row>
    <row r="252" spans="1:3" s="703" customFormat="1" ht="19.5" customHeight="1">
      <c r="A252" s="131"/>
      <c r="B252" s="739"/>
      <c r="C252" s="702"/>
    </row>
    <row r="253" spans="1:3" s="703" customFormat="1" ht="19.5" customHeight="1">
      <c r="A253" s="717"/>
      <c r="B253" s="739"/>
      <c r="C253" s="702"/>
    </row>
    <row r="254" spans="1:3" s="703" customFormat="1" ht="19.5" customHeight="1">
      <c r="A254" s="717"/>
      <c r="B254" s="739"/>
      <c r="C254" s="702"/>
    </row>
    <row r="255" spans="1:3" s="703" customFormat="1" ht="19.5" customHeight="1">
      <c r="A255" s="717"/>
      <c r="B255" s="739"/>
      <c r="C255" s="702"/>
    </row>
    <row r="256" s="703" customFormat="1" ht="19.5" customHeight="1">
      <c r="C256" s="702"/>
    </row>
    <row r="257" s="703" customFormat="1" ht="19.5" customHeight="1">
      <c r="C257" s="702"/>
    </row>
    <row r="258" s="703" customFormat="1" ht="19.5" customHeight="1">
      <c r="C258" s="702"/>
    </row>
    <row r="259" s="703" customFormat="1" ht="19.5" customHeight="1">
      <c r="C259" s="702"/>
    </row>
    <row r="260" spans="1:3" s="703" customFormat="1" ht="19.5" customHeight="1">
      <c r="A260" s="745"/>
      <c r="C260" s="702"/>
    </row>
    <row r="261" s="703" customFormat="1" ht="19.5" customHeight="1">
      <c r="C261" s="702"/>
    </row>
    <row r="262" s="703" customFormat="1" ht="19.5" customHeight="1">
      <c r="C262" s="702"/>
    </row>
    <row r="263" spans="2:3" s="703" customFormat="1" ht="19.5" customHeight="1">
      <c r="B263" s="702"/>
      <c r="C263" s="702"/>
    </row>
    <row r="264" spans="2:3" s="703" customFormat="1" ht="19.5" customHeight="1">
      <c r="B264" s="702"/>
      <c r="C264" s="702"/>
    </row>
    <row r="265" spans="2:3" s="703" customFormat="1" ht="19.5" customHeight="1">
      <c r="B265" s="702"/>
      <c r="C265" s="702"/>
    </row>
    <row r="266" spans="2:3" s="703" customFormat="1" ht="19.5" customHeight="1">
      <c r="B266" s="702"/>
      <c r="C266" s="702"/>
    </row>
    <row r="267" spans="2:3" s="703" customFormat="1" ht="19.5" customHeight="1">
      <c r="B267" s="702"/>
      <c r="C267" s="702"/>
    </row>
    <row r="268" spans="1:3" s="703" customFormat="1" ht="19.5" customHeight="1">
      <c r="A268" s="134"/>
      <c r="B268" s="702"/>
      <c r="C268" s="702"/>
    </row>
    <row r="269" spans="1:3" s="703" customFormat="1" ht="19.5" customHeight="1">
      <c r="A269" s="134"/>
      <c r="B269" s="702"/>
      <c r="C269" s="702"/>
    </row>
    <row r="270" spans="1:3" s="703" customFormat="1" ht="19.5" customHeight="1">
      <c r="A270" s="134"/>
      <c r="B270" s="702"/>
      <c r="C270" s="702"/>
    </row>
    <row r="271" spans="1:3" s="703" customFormat="1" ht="19.5" customHeight="1">
      <c r="A271" s="134"/>
      <c r="B271" s="702"/>
      <c r="C271" s="702"/>
    </row>
    <row r="272" spans="1:3" s="703" customFormat="1" ht="19.5" customHeight="1">
      <c r="A272" s="134"/>
      <c r="B272" s="702"/>
      <c r="C272" s="702"/>
    </row>
    <row r="273" spans="1:3" s="703" customFormat="1" ht="19.5" customHeight="1">
      <c r="A273" s="134"/>
      <c r="B273" s="702"/>
      <c r="C273" s="702"/>
    </row>
    <row r="274" spans="1:3" s="703" customFormat="1" ht="19.5" customHeight="1">
      <c r="A274" s="134"/>
      <c r="B274" s="702"/>
      <c r="C274" s="702"/>
    </row>
    <row r="275" spans="1:3" s="703" customFormat="1" ht="19.5" customHeight="1">
      <c r="A275" s="134"/>
      <c r="B275" s="702"/>
      <c r="C275" s="702"/>
    </row>
    <row r="276" spans="1:3" s="703" customFormat="1" ht="19.5" customHeight="1">
      <c r="A276" s="134"/>
      <c r="B276" s="702"/>
      <c r="C276" s="702"/>
    </row>
    <row r="277" spans="1:3" s="703" customFormat="1" ht="19.5" customHeight="1">
      <c r="A277" s="134"/>
      <c r="B277" s="702"/>
      <c r="C277" s="702"/>
    </row>
    <row r="278" spans="1:3" s="703" customFormat="1" ht="19.5" customHeight="1">
      <c r="A278" s="134"/>
      <c r="B278" s="702"/>
      <c r="C278" s="702"/>
    </row>
    <row r="279" spans="1:3" s="703" customFormat="1" ht="19.5" customHeight="1">
      <c r="A279" s="134"/>
      <c r="B279" s="702"/>
      <c r="C279" s="702"/>
    </row>
    <row r="280" spans="1:3" s="703" customFormat="1" ht="19.5" customHeight="1">
      <c r="A280" s="134"/>
      <c r="B280" s="702"/>
      <c r="C280" s="702"/>
    </row>
    <row r="281" spans="1:3" s="703" customFormat="1" ht="19.5" customHeight="1">
      <c r="A281" s="134"/>
      <c r="B281" s="702"/>
      <c r="C281" s="702"/>
    </row>
    <row r="282" spans="1:3" s="703" customFormat="1" ht="19.5" customHeight="1">
      <c r="A282" s="134"/>
      <c r="B282" s="702"/>
      <c r="C282" s="702"/>
    </row>
    <row r="283" spans="1:3" s="703" customFormat="1" ht="19.5" customHeight="1">
      <c r="A283" s="134"/>
      <c r="B283" s="702"/>
      <c r="C283" s="702"/>
    </row>
    <row r="284" spans="1:3" s="703" customFormat="1" ht="19.5" customHeight="1">
      <c r="A284" s="134"/>
      <c r="B284" s="702"/>
      <c r="C284" s="702"/>
    </row>
    <row r="285" spans="1:3" s="703" customFormat="1" ht="19.5" customHeight="1">
      <c r="A285" s="52"/>
      <c r="B285" s="702"/>
      <c r="C285" s="702"/>
    </row>
    <row r="286" spans="1:3" s="703" customFormat="1" ht="19.5" customHeight="1">
      <c r="A286" s="52"/>
      <c r="B286" s="702"/>
      <c r="C286" s="702"/>
    </row>
    <row r="287" spans="1:3" s="703" customFormat="1" ht="19.5" customHeight="1">
      <c r="A287" s="52"/>
      <c r="B287" s="702"/>
      <c r="C287" s="702"/>
    </row>
    <row r="288" spans="1:3" s="703" customFormat="1" ht="19.5" customHeight="1">
      <c r="A288" s="52"/>
      <c r="B288" s="52"/>
      <c r="C288" s="52"/>
    </row>
    <row r="289" spans="1:3" s="703" customFormat="1" ht="19.5" customHeight="1">
      <c r="A289" s="717"/>
      <c r="B289" s="52"/>
      <c r="C289" s="52"/>
    </row>
    <row r="290" spans="1:3" s="703" customFormat="1" ht="19.5" customHeight="1">
      <c r="A290" s="717"/>
      <c r="B290" s="52"/>
      <c r="C290" s="52"/>
    </row>
    <row r="291" spans="1:3" s="703" customFormat="1" ht="19.5" customHeight="1">
      <c r="A291" s="25"/>
      <c r="B291" s="52"/>
      <c r="C291" s="52"/>
    </row>
    <row r="292" spans="1:3" s="703" customFormat="1" ht="19.5" customHeight="1">
      <c r="A292" s="25"/>
      <c r="B292" s="52"/>
      <c r="C292" s="52"/>
    </row>
    <row r="293" spans="1:3" s="703" customFormat="1" ht="19.5" customHeight="1">
      <c r="A293" s="25"/>
      <c r="B293" s="52"/>
      <c r="C293" s="52"/>
    </row>
    <row r="294" spans="1:3" s="703" customFormat="1" ht="19.5" customHeight="1">
      <c r="A294" s="131"/>
      <c r="B294" s="52"/>
      <c r="C294" s="52"/>
    </row>
    <row r="295" spans="1:3" s="703" customFormat="1" ht="19.5" customHeight="1">
      <c r="A295" s="131"/>
      <c r="B295" s="52"/>
      <c r="C295" s="52"/>
    </row>
    <row r="296" spans="1:3" s="703" customFormat="1" ht="19.5" customHeight="1">
      <c r="A296" s="131"/>
      <c r="B296" s="52"/>
      <c r="C296" s="52"/>
    </row>
    <row r="297" spans="1:3" s="703" customFormat="1" ht="19.5" customHeight="1">
      <c r="A297" s="131"/>
      <c r="B297" s="52"/>
      <c r="C297" s="52"/>
    </row>
    <row r="298" spans="1:3" s="703" customFormat="1" ht="19.5" customHeight="1">
      <c r="A298" s="746"/>
      <c r="B298" s="52"/>
      <c r="C298" s="52"/>
    </row>
    <row r="299" spans="1:3" s="703" customFormat="1" ht="19.5" customHeight="1">
      <c r="A299" s="746"/>
      <c r="B299" s="52"/>
      <c r="C299" s="52"/>
    </row>
    <row r="300" spans="1:3" s="703" customFormat="1" ht="19.5" customHeight="1">
      <c r="A300" s="52"/>
      <c r="B300" s="52"/>
      <c r="C300" s="52"/>
    </row>
    <row r="301" spans="1:3" s="703" customFormat="1" ht="19.5" customHeight="1">
      <c r="A301" s="52"/>
      <c r="B301" s="52"/>
      <c r="C301" s="52"/>
    </row>
    <row r="302" spans="1:3" s="703" customFormat="1" ht="19.5" customHeight="1">
      <c r="A302" s="52"/>
      <c r="B302" s="52"/>
      <c r="C302" s="52"/>
    </row>
    <row r="303" spans="1:3" s="703" customFormat="1" ht="19.5" customHeight="1">
      <c r="A303" s="52"/>
      <c r="B303" s="52"/>
      <c r="C303" s="52"/>
    </row>
    <row r="304" spans="1:3" s="703" customFormat="1" ht="19.5" customHeight="1">
      <c r="A304" s="52"/>
      <c r="B304" s="52"/>
      <c r="C304" s="52"/>
    </row>
    <row r="305" spans="1:3" s="703" customFormat="1" ht="19.5" customHeight="1">
      <c r="A305" s="52"/>
      <c r="B305" s="52"/>
      <c r="C305" s="52"/>
    </row>
    <row r="306" spans="1:3" s="703" customFormat="1" ht="19.5" customHeight="1">
      <c r="A306" s="52"/>
      <c r="B306" s="52"/>
      <c r="C306" s="52"/>
    </row>
    <row r="307" spans="1:3" s="703" customFormat="1" ht="19.5" customHeight="1">
      <c r="A307" s="52"/>
      <c r="B307" s="52"/>
      <c r="C307" s="52"/>
    </row>
    <row r="308" spans="1:3" s="703" customFormat="1" ht="19.5" customHeight="1">
      <c r="A308" s="52"/>
      <c r="B308" s="52"/>
      <c r="C308" s="52"/>
    </row>
    <row r="309" spans="1:3" s="703" customFormat="1" ht="19.5" customHeight="1">
      <c r="A309" s="52"/>
      <c r="B309" s="52"/>
      <c r="C309" s="52"/>
    </row>
    <row r="310" spans="1:3" s="703" customFormat="1" ht="19.5" customHeight="1">
      <c r="A310" s="52"/>
      <c r="B310" s="52"/>
      <c r="C310" s="52"/>
    </row>
    <row r="311" spans="1:3" s="703" customFormat="1" ht="19.5" customHeight="1">
      <c r="A311" s="52"/>
      <c r="B311" s="52"/>
      <c r="C311" s="52"/>
    </row>
    <row r="312" spans="1:3" s="703" customFormat="1" ht="19.5" customHeight="1">
      <c r="A312" s="52"/>
      <c r="B312" s="733"/>
      <c r="C312" s="25"/>
    </row>
    <row r="313" spans="1:3" s="703" customFormat="1" ht="19.5" customHeight="1">
      <c r="A313" s="52"/>
      <c r="B313" s="733"/>
      <c r="C313" s="25"/>
    </row>
    <row r="314" spans="1:3" s="703" customFormat="1" ht="19.5" customHeight="1">
      <c r="A314" s="52"/>
      <c r="B314" s="52"/>
      <c r="C314" s="52"/>
    </row>
    <row r="315" spans="1:3" s="703" customFormat="1" ht="19.5" customHeight="1">
      <c r="A315" s="747"/>
      <c r="B315" s="52"/>
      <c r="C315" s="52"/>
    </row>
    <row r="316" spans="1:3" s="703" customFormat="1" ht="19.5" customHeight="1">
      <c r="A316" s="717"/>
      <c r="B316" s="52"/>
      <c r="C316" s="52"/>
    </row>
    <row r="317" spans="1:3" s="703" customFormat="1" ht="19.5" customHeight="1">
      <c r="A317" s="25"/>
      <c r="B317" s="274"/>
      <c r="C317" s="25"/>
    </row>
    <row r="318" spans="1:3" s="703" customFormat="1" ht="19.5" customHeight="1">
      <c r="A318" s="25"/>
      <c r="B318" s="274"/>
      <c r="C318" s="25"/>
    </row>
    <row r="319" spans="1:3" s="703" customFormat="1" ht="19.5" customHeight="1">
      <c r="A319" s="25"/>
      <c r="B319" s="274"/>
      <c r="C319" s="25"/>
    </row>
    <row r="320" spans="1:3" s="703" customFormat="1" ht="19.5" customHeight="1">
      <c r="A320" s="131"/>
      <c r="B320" s="274"/>
      <c r="C320" s="25"/>
    </row>
    <row r="321" spans="1:3" s="703" customFormat="1" ht="19.5" customHeight="1">
      <c r="A321" s="131"/>
      <c r="B321" s="25"/>
      <c r="C321" s="25"/>
    </row>
    <row r="322" spans="1:3" s="703" customFormat="1" ht="19.5" customHeight="1">
      <c r="A322" s="131"/>
      <c r="B322" s="25"/>
      <c r="C322" s="25"/>
    </row>
    <row r="323" spans="1:3" s="703" customFormat="1" ht="19.5" customHeight="1">
      <c r="A323" s="131"/>
      <c r="B323" s="52"/>
      <c r="C323" s="52"/>
    </row>
    <row r="324" spans="1:3" s="703" customFormat="1" ht="19.5" customHeight="1">
      <c r="A324" s="131"/>
      <c r="B324" s="52"/>
      <c r="C324" s="52"/>
    </row>
    <row r="325" spans="1:3" ht="19.5" customHeight="1">
      <c r="A325" s="131"/>
      <c r="B325" s="52"/>
      <c r="C325" s="52"/>
    </row>
    <row r="326" spans="1:3" ht="19.5" customHeight="1">
      <c r="A326" s="25"/>
      <c r="B326" s="52"/>
      <c r="C326" s="52"/>
    </row>
    <row r="327" spans="1:3" ht="19.5" customHeight="1">
      <c r="A327" s="25"/>
      <c r="B327" s="52"/>
      <c r="C327" s="52"/>
    </row>
    <row r="328" spans="1:3" ht="19.5" customHeight="1">
      <c r="A328" s="25"/>
      <c r="B328" s="52"/>
      <c r="C328" s="52"/>
    </row>
    <row r="329" spans="1:3" ht="19.5" customHeight="1">
      <c r="A329" s="25"/>
      <c r="B329" s="52"/>
      <c r="C329" s="52"/>
    </row>
    <row r="330" spans="1:3" ht="19.5" customHeight="1">
      <c r="A330" s="25"/>
      <c r="B330" s="52"/>
      <c r="C330" s="52"/>
    </row>
    <row r="331" spans="1:3" ht="19.5" customHeight="1">
      <c r="A331" s="25"/>
      <c r="B331" s="52"/>
      <c r="C331" s="52"/>
    </row>
    <row r="332" spans="1:3" ht="19.5" customHeight="1">
      <c r="A332" s="52"/>
      <c r="B332" s="52"/>
      <c r="C332" s="52"/>
    </row>
    <row r="333" spans="1:3" ht="19.5" customHeight="1">
      <c r="A333" s="52"/>
      <c r="B333" s="52"/>
      <c r="C333" s="52"/>
    </row>
    <row r="334" spans="1:3" ht="19.5" customHeight="1">
      <c r="A334" s="52"/>
      <c r="B334" s="52"/>
      <c r="C334" s="52"/>
    </row>
    <row r="335" spans="1:3" ht="19.5" customHeight="1">
      <c r="A335" s="52"/>
      <c r="B335" s="52"/>
      <c r="C335" s="52"/>
    </row>
    <row r="336" spans="1:3" ht="19.5" customHeight="1">
      <c r="A336" s="52"/>
      <c r="B336" s="52"/>
      <c r="C336" s="52"/>
    </row>
    <row r="337" spans="1:3" ht="19.5" customHeight="1">
      <c r="A337" s="52"/>
      <c r="B337" s="52"/>
      <c r="C337" s="52"/>
    </row>
    <row r="338" spans="1:3" ht="19.5" customHeight="1">
      <c r="A338" s="52"/>
      <c r="B338" s="25"/>
      <c r="C338" s="52"/>
    </row>
    <row r="339" spans="1:3" ht="19.5" customHeight="1">
      <c r="A339" s="52"/>
      <c r="B339" s="25"/>
      <c r="C339" s="25"/>
    </row>
    <row r="340" spans="1:3" ht="19.5" customHeight="1">
      <c r="A340" s="52"/>
      <c r="B340" s="52"/>
      <c r="C340" s="25"/>
    </row>
    <row r="341" spans="1:3" ht="19.5" customHeight="1">
      <c r="A341" s="52"/>
      <c r="B341" s="52"/>
      <c r="C341" s="52"/>
    </row>
    <row r="342" spans="1:3" ht="19.5" customHeight="1">
      <c r="A342" s="52"/>
      <c r="B342" s="52"/>
      <c r="C342" s="52"/>
    </row>
    <row r="343" spans="1:3" ht="19.5" customHeight="1">
      <c r="A343" s="52"/>
      <c r="B343" s="25"/>
      <c r="C343" s="25"/>
    </row>
    <row r="344" spans="1:3" ht="19.5" customHeight="1">
      <c r="A344" s="52"/>
      <c r="B344" s="25"/>
      <c r="C344" s="25"/>
    </row>
    <row r="345" spans="1:3" ht="19.5" customHeight="1">
      <c r="A345" s="52"/>
      <c r="B345" s="274"/>
      <c r="C345" s="274"/>
    </row>
    <row r="346" spans="1:3" ht="19.5" customHeight="1">
      <c r="A346" s="52"/>
      <c r="B346" s="274"/>
      <c r="C346" s="274"/>
    </row>
    <row r="347" spans="1:3" ht="19.5" customHeight="1">
      <c r="A347" s="52"/>
      <c r="B347" s="25"/>
      <c r="C347" s="25"/>
    </row>
    <row r="348" spans="1:3" ht="19.5" customHeight="1">
      <c r="A348" s="52"/>
      <c r="B348" s="25"/>
      <c r="C348" s="25"/>
    </row>
    <row r="349" spans="1:3" ht="19.5" customHeight="1">
      <c r="A349" s="52"/>
      <c r="B349" s="274"/>
      <c r="C349" s="25"/>
    </row>
    <row r="350" spans="1:3" ht="19.5" customHeight="1">
      <c r="A350" s="52"/>
      <c r="B350" s="274"/>
      <c r="C350" s="25"/>
    </row>
    <row r="351" spans="1:3" ht="19.5" customHeight="1">
      <c r="A351" s="52"/>
      <c r="B351" s="274"/>
      <c r="C351" s="25"/>
    </row>
    <row r="352" spans="1:3" ht="19.5" customHeight="1">
      <c r="A352" s="52"/>
      <c r="B352" s="274"/>
      <c r="C352" s="274"/>
    </row>
    <row r="353" spans="1:3" ht="19.5" customHeight="1">
      <c r="A353" s="52"/>
      <c r="B353" s="274"/>
      <c r="C353" s="274"/>
    </row>
    <row r="354" spans="1:3" ht="19.5" customHeight="1">
      <c r="A354" s="52"/>
      <c r="B354" s="274"/>
      <c r="C354" s="274"/>
    </row>
    <row r="355" spans="1:3" ht="19.5" customHeight="1">
      <c r="A355" s="52"/>
      <c r="B355" s="52"/>
      <c r="C355" s="52"/>
    </row>
    <row r="356" spans="1:3" ht="19.5" customHeight="1">
      <c r="A356" s="131"/>
      <c r="B356" s="52"/>
      <c r="C356" s="52"/>
    </row>
    <row r="357" spans="1:3" ht="19.5" customHeight="1">
      <c r="A357" s="131"/>
      <c r="B357" s="52"/>
      <c r="C357" s="52"/>
    </row>
    <row r="358" spans="1:3" ht="19.5" customHeight="1">
      <c r="A358" s="131"/>
      <c r="B358" s="52"/>
      <c r="C358" s="52"/>
    </row>
    <row r="359" spans="1:3" ht="19.5" customHeight="1">
      <c r="A359" s="131"/>
      <c r="B359" s="52"/>
      <c r="C359" s="52"/>
    </row>
    <row r="360" spans="1:3" ht="19.5" customHeight="1">
      <c r="A360" s="131"/>
      <c r="B360" s="52"/>
      <c r="C360" s="52"/>
    </row>
    <row r="361" spans="1:3" ht="19.5" customHeight="1">
      <c r="A361" s="131"/>
      <c r="B361" s="52"/>
      <c r="C361" s="52"/>
    </row>
    <row r="362" spans="1:3" ht="19.5" customHeight="1">
      <c r="A362" s="717"/>
      <c r="B362" s="52"/>
      <c r="C362" s="52"/>
    </row>
    <row r="363" spans="1:3" ht="19.5" customHeight="1">
      <c r="A363" s="717"/>
      <c r="B363" s="52"/>
      <c r="C363" s="52"/>
    </row>
    <row r="364" spans="1:3" ht="19.5" customHeight="1">
      <c r="A364" s="717"/>
      <c r="B364" s="52"/>
      <c r="C364" s="52"/>
    </row>
    <row r="365" spans="1:3" ht="19.5" customHeight="1">
      <c r="A365" s="52"/>
      <c r="B365" s="52"/>
      <c r="C365" s="52"/>
    </row>
    <row r="366" spans="1:3" ht="19.5" customHeight="1">
      <c r="A366" s="52"/>
      <c r="B366" s="52"/>
      <c r="C366" s="52"/>
    </row>
    <row r="367" spans="1:3" ht="19.5" customHeight="1">
      <c r="A367" s="25"/>
      <c r="B367" s="52"/>
      <c r="C367" s="52"/>
    </row>
    <row r="368" spans="1:3" ht="19.5" customHeight="1">
      <c r="A368" s="25"/>
      <c r="B368" s="52"/>
      <c r="C368" s="52"/>
    </row>
    <row r="369" spans="1:3" ht="19.5" customHeight="1">
      <c r="A369" s="25"/>
      <c r="B369" s="52"/>
      <c r="C369" s="52"/>
    </row>
    <row r="370" spans="1:3" ht="19.5" customHeight="1">
      <c r="A370" s="25"/>
      <c r="B370" s="52"/>
      <c r="C370" s="52"/>
    </row>
    <row r="371" spans="1:3" ht="19.5" customHeight="1">
      <c r="A371" s="25"/>
      <c r="B371" s="52"/>
      <c r="C371" s="52"/>
    </row>
    <row r="372" spans="1:3" ht="19.5" customHeight="1">
      <c r="A372" s="25"/>
      <c r="B372" s="52"/>
      <c r="C372" s="52"/>
    </row>
    <row r="373" spans="1:3" ht="19.5" customHeight="1">
      <c r="A373" s="25"/>
      <c r="B373" s="52"/>
      <c r="C373" s="52"/>
    </row>
    <row r="374" spans="1:3" ht="19.5" customHeight="1">
      <c r="A374" s="25"/>
      <c r="B374" s="52"/>
      <c r="C374" s="52"/>
    </row>
    <row r="375" spans="1:3" ht="19.5" customHeight="1">
      <c r="A375" s="25"/>
      <c r="B375" s="52"/>
      <c r="C375" s="52"/>
    </row>
    <row r="376" spans="1:3" ht="19.5" customHeight="1">
      <c r="A376" s="25"/>
      <c r="B376" s="52"/>
      <c r="C376" s="52"/>
    </row>
    <row r="377" spans="1:3" ht="19.5" customHeight="1">
      <c r="A377" s="25"/>
      <c r="B377" s="52"/>
      <c r="C377" s="52"/>
    </row>
    <row r="378" spans="1:3" ht="19.5" customHeight="1">
      <c r="A378" s="25"/>
      <c r="B378" s="52"/>
      <c r="C378" s="52"/>
    </row>
    <row r="379" spans="1:3" ht="19.5" customHeight="1">
      <c r="A379" s="25"/>
      <c r="B379" s="274"/>
      <c r="C379" s="274"/>
    </row>
    <row r="380" spans="1:3" ht="19.5" customHeight="1">
      <c r="A380" s="25"/>
      <c r="B380" s="274"/>
      <c r="C380" s="25"/>
    </row>
    <row r="381" spans="1:3" ht="19.5" customHeight="1">
      <c r="A381" s="25"/>
      <c r="B381" s="274"/>
      <c r="C381" s="274"/>
    </row>
    <row r="382" spans="1:3" ht="19.5" customHeight="1">
      <c r="A382" s="25"/>
      <c r="B382" s="274"/>
      <c r="C382" s="274"/>
    </row>
    <row r="383" spans="1:3" ht="19.5" customHeight="1">
      <c r="A383" s="25"/>
      <c r="B383" s="274"/>
      <c r="C383" s="274"/>
    </row>
    <row r="384" spans="1:3" ht="19.5" customHeight="1">
      <c r="A384" s="25"/>
      <c r="B384" s="274"/>
      <c r="C384" s="274"/>
    </row>
    <row r="385" spans="1:3" ht="19.5" customHeight="1">
      <c r="A385" s="25"/>
      <c r="B385" s="274"/>
      <c r="C385" s="25"/>
    </row>
    <row r="386" spans="1:3" ht="19.5" customHeight="1">
      <c r="A386" s="25"/>
      <c r="B386" s="274"/>
      <c r="C386" s="25"/>
    </row>
    <row r="387" spans="1:3" ht="19.5" customHeight="1">
      <c r="A387" s="25"/>
      <c r="B387" s="274"/>
      <c r="C387" s="274"/>
    </row>
    <row r="388" spans="1:3" ht="19.5" customHeight="1">
      <c r="A388" s="25"/>
      <c r="B388" s="52"/>
      <c r="C388" s="52"/>
    </row>
    <row r="389" spans="1:3" ht="19.5" customHeight="1">
      <c r="A389" s="25"/>
      <c r="B389" s="52"/>
      <c r="C389" s="52"/>
    </row>
    <row r="390" spans="1:3" ht="19.5" customHeight="1">
      <c r="A390" s="25"/>
      <c r="B390" s="25"/>
      <c r="C390" s="25"/>
    </row>
    <row r="391" spans="1:3" ht="19.5" customHeight="1">
      <c r="A391" s="25"/>
      <c r="B391" s="25"/>
      <c r="C391" s="25"/>
    </row>
    <row r="392" spans="1:3" ht="19.5" customHeight="1">
      <c r="A392" s="25"/>
      <c r="B392" s="25"/>
      <c r="C392" s="25"/>
    </row>
    <row r="393" spans="1:3" ht="19.5" customHeight="1">
      <c r="A393" s="25"/>
      <c r="B393" s="25"/>
      <c r="C393" s="25"/>
    </row>
    <row r="394" spans="1:3" ht="19.5" customHeight="1">
      <c r="A394" s="25"/>
      <c r="B394" s="25"/>
      <c r="C394" s="25"/>
    </row>
    <row r="395" spans="1:3" ht="19.5" customHeight="1">
      <c r="A395" s="25"/>
      <c r="B395" s="25"/>
      <c r="C395" s="25"/>
    </row>
    <row r="396" spans="1:3" ht="19.5" customHeight="1">
      <c r="A396" s="25"/>
      <c r="B396" s="25"/>
      <c r="C396" s="25"/>
    </row>
    <row r="397" spans="1:3" ht="19.5" customHeight="1">
      <c r="A397" s="25"/>
      <c r="B397" s="25"/>
      <c r="C397" s="25"/>
    </row>
    <row r="398" spans="1:3" ht="19.5" customHeight="1">
      <c r="A398" s="25"/>
      <c r="B398" s="25"/>
      <c r="C398" s="25"/>
    </row>
    <row r="399" spans="1:3" ht="19.5" customHeight="1">
      <c r="A399" s="25"/>
      <c r="B399" s="25"/>
      <c r="C399" s="25"/>
    </row>
    <row r="400" spans="1:3" ht="19.5" customHeight="1">
      <c r="A400" s="25"/>
      <c r="B400" s="25"/>
      <c r="C400" s="25"/>
    </row>
    <row r="401" spans="1:3" ht="19.5" customHeight="1">
      <c r="A401" s="25"/>
      <c r="B401" s="25"/>
      <c r="C401" s="25"/>
    </row>
    <row r="402" spans="1:3" ht="19.5" customHeight="1">
      <c r="A402" s="25"/>
      <c r="B402" s="25"/>
      <c r="C402" s="25"/>
    </row>
    <row r="403" spans="1:3" ht="19.5" customHeight="1">
      <c r="A403" s="25"/>
      <c r="B403" s="25"/>
      <c r="C403" s="25"/>
    </row>
    <row r="404" spans="1:3" ht="19.5" customHeight="1">
      <c r="A404" s="25"/>
      <c r="B404" s="25"/>
      <c r="C404" s="25"/>
    </row>
    <row r="405" spans="1:3" ht="19.5" customHeight="1">
      <c r="A405" s="25"/>
      <c r="B405" s="25"/>
      <c r="C405" s="25"/>
    </row>
    <row r="406" spans="1:3" ht="19.5" customHeight="1">
      <c r="A406" s="25"/>
      <c r="B406" s="25"/>
      <c r="C406" s="25"/>
    </row>
    <row r="407" spans="1:3" ht="19.5" customHeight="1">
      <c r="A407" s="25"/>
      <c r="B407" s="25"/>
      <c r="C407" s="25"/>
    </row>
    <row r="408" spans="1:3" ht="19.5" customHeight="1">
      <c r="A408" s="25"/>
      <c r="B408" s="25"/>
      <c r="C408" s="25"/>
    </row>
    <row r="409" spans="1:3" ht="19.5" customHeight="1">
      <c r="A409" s="25"/>
      <c r="B409" s="25"/>
      <c r="C409" s="25"/>
    </row>
    <row r="410" spans="1:3" ht="19.5" customHeight="1">
      <c r="A410" s="25"/>
      <c r="B410" s="25"/>
      <c r="C410" s="25"/>
    </row>
    <row r="411" spans="1:3" ht="19.5" customHeight="1">
      <c r="A411" s="25"/>
      <c r="B411" s="25"/>
      <c r="C411" s="25"/>
    </row>
    <row r="412" spans="1:3" ht="19.5" customHeight="1">
      <c r="A412" s="25"/>
      <c r="B412" s="25"/>
      <c r="C412" s="25"/>
    </row>
    <row r="413" spans="1:3" ht="19.5" customHeight="1">
      <c r="A413" s="25"/>
      <c r="B413" s="25"/>
      <c r="C413" s="25"/>
    </row>
    <row r="414" spans="1:3" ht="19.5" customHeight="1">
      <c r="A414" s="25"/>
      <c r="B414" s="25"/>
      <c r="C414" s="25"/>
    </row>
    <row r="415" spans="1:3" ht="19.5" customHeight="1">
      <c r="A415" s="25"/>
      <c r="B415" s="25"/>
      <c r="C415" s="25"/>
    </row>
    <row r="416" spans="1:3" ht="19.5" customHeight="1">
      <c r="A416" s="25"/>
      <c r="B416" s="25"/>
      <c r="C416" s="25"/>
    </row>
    <row r="417" spans="1:3" ht="19.5" customHeight="1">
      <c r="A417" s="25"/>
      <c r="B417" s="25"/>
      <c r="C417" s="25"/>
    </row>
    <row r="418" spans="1:3" ht="19.5" customHeight="1">
      <c r="A418" s="25"/>
      <c r="B418" s="25"/>
      <c r="C418" s="25"/>
    </row>
    <row r="419" spans="1:3" ht="19.5" customHeight="1">
      <c r="A419" s="25"/>
      <c r="B419" s="25"/>
      <c r="C419" s="25"/>
    </row>
    <row r="420" spans="1:3" ht="19.5" customHeight="1">
      <c r="A420" s="25"/>
      <c r="B420" s="25"/>
      <c r="C420" s="25"/>
    </row>
    <row r="421" spans="1:3" ht="19.5" customHeight="1">
      <c r="A421" s="25"/>
      <c r="B421" s="25"/>
      <c r="C421" s="25"/>
    </row>
    <row r="422" spans="1:3" ht="19.5" customHeight="1">
      <c r="A422" s="25"/>
      <c r="B422" s="25"/>
      <c r="C422" s="25"/>
    </row>
    <row r="423" spans="1:3" ht="19.5" customHeight="1">
      <c r="A423" s="25"/>
      <c r="B423" s="25"/>
      <c r="C423" s="25"/>
    </row>
    <row r="424" spans="1:3" ht="19.5" customHeight="1">
      <c r="A424" s="25"/>
      <c r="B424" s="25"/>
      <c r="C424" s="25"/>
    </row>
    <row r="425" spans="1:3" ht="19.5" customHeight="1">
      <c r="A425" s="25"/>
      <c r="B425" s="25"/>
      <c r="C425" s="25"/>
    </row>
    <row r="426" spans="1:3" ht="19.5" customHeight="1">
      <c r="A426" s="25"/>
      <c r="B426" s="25"/>
      <c r="C426" s="25"/>
    </row>
    <row r="427" spans="1:3" ht="19.5" customHeight="1">
      <c r="A427" s="25"/>
      <c r="B427" s="25"/>
      <c r="C427" s="25"/>
    </row>
    <row r="428" spans="1:3" ht="19.5" customHeight="1">
      <c r="A428" s="25"/>
      <c r="B428" s="25"/>
      <c r="C428" s="25"/>
    </row>
    <row r="429" spans="1:3" ht="19.5" customHeight="1">
      <c r="A429" s="25"/>
      <c r="B429" s="25"/>
      <c r="C429" s="25"/>
    </row>
    <row r="430" spans="1:3" ht="19.5" customHeight="1">
      <c r="A430" s="25"/>
      <c r="B430" s="25"/>
      <c r="C430" s="25"/>
    </row>
    <row r="431" spans="1:3" ht="19.5" customHeight="1">
      <c r="A431" s="25"/>
      <c r="B431" s="25"/>
      <c r="C431" s="25"/>
    </row>
    <row r="432" spans="1:3" ht="19.5" customHeight="1">
      <c r="A432" s="25"/>
      <c r="B432" s="25"/>
      <c r="C432" s="25"/>
    </row>
    <row r="433" spans="1:3" ht="19.5" customHeight="1">
      <c r="A433" s="25"/>
      <c r="B433" s="25"/>
      <c r="C433" s="25"/>
    </row>
    <row r="434" spans="1:3" ht="19.5" customHeight="1">
      <c r="A434" s="25"/>
      <c r="B434" s="25"/>
      <c r="C434" s="25"/>
    </row>
    <row r="435" spans="1:3" ht="19.5" customHeight="1">
      <c r="A435" s="25"/>
      <c r="B435" s="25"/>
      <c r="C435" s="25"/>
    </row>
    <row r="436" spans="1:3" ht="19.5" customHeight="1">
      <c r="A436" s="25"/>
      <c r="B436" s="25"/>
      <c r="C436" s="25"/>
    </row>
    <row r="437" spans="1:3" ht="19.5" customHeight="1">
      <c r="A437" s="25"/>
      <c r="B437" s="25"/>
      <c r="C437" s="25"/>
    </row>
    <row r="438" spans="1:3" ht="19.5" customHeight="1">
      <c r="A438" s="25"/>
      <c r="B438" s="25"/>
      <c r="C438" s="25"/>
    </row>
    <row r="439" spans="1:3" ht="19.5" customHeight="1">
      <c r="A439" s="25"/>
      <c r="B439" s="25"/>
      <c r="C439" s="25"/>
    </row>
    <row r="440" spans="1:3" ht="19.5" customHeight="1">
      <c r="A440" s="25"/>
      <c r="B440" s="25"/>
      <c r="C440" s="25"/>
    </row>
    <row r="441" spans="1:3" ht="19.5" customHeight="1">
      <c r="A441" s="25"/>
      <c r="B441" s="25"/>
      <c r="C441" s="25"/>
    </row>
    <row r="442" spans="1:3" ht="19.5" customHeight="1">
      <c r="A442" s="25"/>
      <c r="B442" s="25"/>
      <c r="C442" s="25"/>
    </row>
    <row r="443" spans="1:3" ht="19.5" customHeight="1">
      <c r="A443" s="25"/>
      <c r="B443" s="25"/>
      <c r="C443" s="25"/>
    </row>
    <row r="444" spans="1:3" ht="19.5" customHeight="1">
      <c r="A444" s="25"/>
      <c r="B444" s="25"/>
      <c r="C444" s="25"/>
    </row>
    <row r="445" spans="1:3" ht="19.5" customHeight="1">
      <c r="A445" s="25"/>
      <c r="B445" s="25"/>
      <c r="C445" s="25"/>
    </row>
    <row r="446" spans="1:3" ht="19.5" customHeight="1">
      <c r="A446" s="25"/>
      <c r="B446" s="25"/>
      <c r="C446" s="25"/>
    </row>
    <row r="447" spans="1:3" ht="19.5" customHeight="1">
      <c r="A447" s="25"/>
      <c r="B447" s="25"/>
      <c r="C447" s="25"/>
    </row>
    <row r="448" spans="1:3" ht="19.5" customHeight="1">
      <c r="A448" s="25"/>
      <c r="B448" s="25"/>
      <c r="C448" s="25"/>
    </row>
    <row r="449" spans="1:3" ht="19.5" customHeight="1">
      <c r="A449" s="25"/>
      <c r="B449" s="25"/>
      <c r="C449" s="25"/>
    </row>
    <row r="450" spans="1:3" ht="19.5" customHeight="1">
      <c r="A450" s="25"/>
      <c r="B450" s="25"/>
      <c r="C450" s="25"/>
    </row>
    <row r="451" spans="1:3" ht="19.5" customHeight="1">
      <c r="A451" s="25"/>
      <c r="B451" s="25"/>
      <c r="C451" s="25"/>
    </row>
    <row r="452" spans="1:3" ht="19.5" customHeight="1">
      <c r="A452" s="25"/>
      <c r="B452" s="25"/>
      <c r="C452" s="25"/>
    </row>
    <row r="453" spans="1:3" ht="19.5" customHeight="1">
      <c r="A453" s="25"/>
      <c r="B453" s="25"/>
      <c r="C453" s="25"/>
    </row>
    <row r="454" spans="1:3" ht="19.5" customHeight="1">
      <c r="A454" s="25"/>
      <c r="B454" s="25"/>
      <c r="C454" s="25"/>
    </row>
    <row r="455" spans="1:3" ht="19.5" customHeight="1">
      <c r="A455" s="25"/>
      <c r="B455" s="25"/>
      <c r="C455" s="25"/>
    </row>
    <row r="456" spans="1:3" ht="19.5" customHeight="1">
      <c r="A456" s="25"/>
      <c r="B456" s="25"/>
      <c r="C456" s="25"/>
    </row>
    <row r="457" spans="1:3" ht="19.5" customHeight="1">
      <c r="A457" s="25"/>
      <c r="B457" s="25"/>
      <c r="C457" s="25"/>
    </row>
    <row r="458" spans="1:3" ht="19.5" customHeight="1">
      <c r="A458" s="25"/>
      <c r="B458" s="25"/>
      <c r="C458" s="25"/>
    </row>
    <row r="459" spans="1:3" ht="19.5" customHeight="1">
      <c r="A459" s="25"/>
      <c r="B459" s="25"/>
      <c r="C459" s="25"/>
    </row>
    <row r="460" spans="1:3" ht="19.5" customHeight="1">
      <c r="A460" s="25"/>
      <c r="B460" s="25"/>
      <c r="C460" s="25"/>
    </row>
    <row r="461" spans="1:3" ht="19.5" customHeight="1">
      <c r="A461" s="25"/>
      <c r="B461" s="25"/>
      <c r="C461" s="25"/>
    </row>
    <row r="462" spans="1:3" ht="19.5" customHeight="1">
      <c r="A462" s="25"/>
      <c r="B462" s="25"/>
      <c r="C462" s="25"/>
    </row>
    <row r="463" spans="1:3" ht="19.5" customHeight="1">
      <c r="A463" s="25"/>
      <c r="B463" s="25"/>
      <c r="C463" s="25"/>
    </row>
    <row r="464" spans="1:3" ht="19.5" customHeight="1">
      <c r="A464" s="25"/>
      <c r="B464" s="25"/>
      <c r="C464" s="25"/>
    </row>
    <row r="465" spans="1:3" ht="19.5" customHeight="1">
      <c r="A465" s="25"/>
      <c r="B465" s="25"/>
      <c r="C465" s="25"/>
    </row>
    <row r="466" spans="1:3" ht="19.5" customHeight="1">
      <c r="A466" s="25"/>
      <c r="B466" s="25"/>
      <c r="C466" s="703"/>
    </row>
    <row r="467" spans="1:3" ht="19.5" customHeight="1">
      <c r="A467" s="25"/>
      <c r="B467" s="25"/>
      <c r="C467" s="703"/>
    </row>
    <row r="468" spans="1:3" ht="19.5" customHeight="1">
      <c r="A468" s="25"/>
      <c r="B468" s="25"/>
      <c r="C468" s="703"/>
    </row>
    <row r="469" spans="1:3" ht="19.5" customHeight="1">
      <c r="A469" s="25"/>
      <c r="B469" s="25"/>
      <c r="C469" s="703"/>
    </row>
    <row r="470" spans="1:3" ht="19.5" customHeight="1">
      <c r="A470" s="25"/>
      <c r="B470" s="25"/>
      <c r="C470" s="703"/>
    </row>
    <row r="471" spans="1:3" ht="19.5" customHeight="1">
      <c r="A471" s="25"/>
      <c r="B471" s="25"/>
      <c r="C471" s="703"/>
    </row>
    <row r="472" spans="1:3" ht="19.5" customHeight="1">
      <c r="A472" s="25"/>
      <c r="B472" s="25"/>
      <c r="C472" s="703"/>
    </row>
    <row r="473" spans="1:3" ht="19.5" customHeight="1">
      <c r="A473" s="25"/>
      <c r="B473" s="25"/>
      <c r="C473" s="703"/>
    </row>
    <row r="474" spans="1:3" ht="19.5" customHeight="1">
      <c r="A474" s="25"/>
      <c r="B474" s="25"/>
      <c r="C474" s="703"/>
    </row>
    <row r="475" spans="1:3" ht="19.5" customHeight="1">
      <c r="A475" s="25"/>
      <c r="B475" s="25"/>
      <c r="C475" s="703"/>
    </row>
    <row r="476" spans="1:3" ht="19.5" customHeight="1">
      <c r="A476" s="25"/>
      <c r="B476" s="25"/>
      <c r="C476" s="703"/>
    </row>
    <row r="477" spans="2:3" ht="19.5" customHeight="1">
      <c r="B477" s="25"/>
      <c r="C477" s="703"/>
    </row>
    <row r="478" spans="2:3" ht="19.5" customHeight="1">
      <c r="B478" s="25"/>
      <c r="C478" s="703"/>
    </row>
    <row r="479" spans="2:3" ht="19.5" customHeight="1">
      <c r="B479" s="25"/>
      <c r="C479" s="703"/>
    </row>
    <row r="480" spans="2:3" ht="19.5" customHeight="1">
      <c r="B480" s="25"/>
      <c r="C480" s="703"/>
    </row>
    <row r="481" spans="2:3" ht="19.5" customHeight="1">
      <c r="B481" s="25"/>
      <c r="C481" s="703"/>
    </row>
    <row r="482" spans="2:3" ht="19.5" customHeight="1">
      <c r="B482" s="25"/>
      <c r="C482" s="703"/>
    </row>
    <row r="483" spans="2:3" ht="19.5" customHeight="1">
      <c r="B483" s="25"/>
      <c r="C483" s="703"/>
    </row>
    <row r="484" spans="2:3" ht="19.5" customHeight="1">
      <c r="B484" s="25"/>
      <c r="C484" s="703"/>
    </row>
    <row r="485" spans="2:3" ht="19.5" customHeight="1">
      <c r="B485" s="25"/>
      <c r="C485" s="703"/>
    </row>
    <row r="486" spans="2:3" ht="19.5" customHeight="1">
      <c r="B486" s="25"/>
      <c r="C486" s="703"/>
    </row>
    <row r="487" spans="2:3" ht="19.5" customHeight="1">
      <c r="B487" s="25"/>
      <c r="C487" s="703"/>
    </row>
    <row r="488" spans="2:3" ht="19.5" customHeight="1">
      <c r="B488" s="25"/>
      <c r="C488" s="703"/>
    </row>
    <row r="489" spans="2:3" ht="19.5" customHeight="1">
      <c r="B489" s="25"/>
      <c r="C489" s="703"/>
    </row>
    <row r="490" spans="2:3" ht="19.5" customHeight="1">
      <c r="B490" s="703"/>
      <c r="C490" s="703"/>
    </row>
    <row r="491" spans="2:3" ht="19.5" customHeight="1">
      <c r="B491" s="703"/>
      <c r="C491" s="703"/>
    </row>
    <row r="492" spans="2:3" ht="19.5" customHeight="1">
      <c r="B492" s="703"/>
      <c r="C492" s="703"/>
    </row>
    <row r="493" spans="2:3" ht="19.5" customHeight="1">
      <c r="B493" s="703"/>
      <c r="C493" s="703"/>
    </row>
    <row r="494" spans="2:3" ht="19.5" customHeight="1">
      <c r="B494" s="703"/>
      <c r="C494" s="703"/>
    </row>
    <row r="495" spans="2:3" ht="19.5" customHeight="1">
      <c r="B495" s="703"/>
      <c r="C495" s="703"/>
    </row>
    <row r="496" spans="2:3" ht="19.5" customHeight="1">
      <c r="B496" s="703"/>
      <c r="C496" s="703"/>
    </row>
    <row r="497" spans="2:3" ht="19.5" customHeight="1">
      <c r="B497" s="703"/>
      <c r="C497" s="703"/>
    </row>
    <row r="498" spans="2:3" ht="19.5" customHeight="1">
      <c r="B498" s="703"/>
      <c r="C498" s="703"/>
    </row>
    <row r="499" spans="2:3" ht="19.5" customHeight="1">
      <c r="B499" s="703"/>
      <c r="C499" s="703"/>
    </row>
  </sheetData>
  <sheetProtection/>
  <mergeCells count="46">
    <mergeCell ref="A1:D1"/>
    <mergeCell ref="A2:C2"/>
    <mergeCell ref="A3:D3"/>
    <mergeCell ref="A4:A6"/>
    <mergeCell ref="B4:B6"/>
    <mergeCell ref="C4:C6"/>
    <mergeCell ref="D4:D6"/>
    <mergeCell ref="E4:E6"/>
    <mergeCell ref="A38:A40"/>
    <mergeCell ref="B38:B40"/>
    <mergeCell ref="C38:C40"/>
    <mergeCell ref="D38:D40"/>
    <mergeCell ref="E38:E40"/>
    <mergeCell ref="A89:D89"/>
    <mergeCell ref="A90:A92"/>
    <mergeCell ref="B90:B92"/>
    <mergeCell ref="C90:C92"/>
    <mergeCell ref="D90:D92"/>
    <mergeCell ref="E90:E92"/>
    <mergeCell ref="E135:E137"/>
    <mergeCell ref="A108:A110"/>
    <mergeCell ref="B108:B110"/>
    <mergeCell ref="C108:C110"/>
    <mergeCell ref="D108:D110"/>
    <mergeCell ref="E108:E110"/>
    <mergeCell ref="A118:D118"/>
    <mergeCell ref="E148:E150"/>
    <mergeCell ref="A119:A121"/>
    <mergeCell ref="B119:B121"/>
    <mergeCell ref="C119:C121"/>
    <mergeCell ref="D119:D121"/>
    <mergeCell ref="E119:E121"/>
    <mergeCell ref="A135:A137"/>
    <mergeCell ref="B135:B137"/>
    <mergeCell ref="C135:C137"/>
    <mergeCell ref="D135:D137"/>
    <mergeCell ref="A161:A163"/>
    <mergeCell ref="B161:B163"/>
    <mergeCell ref="C161:C163"/>
    <mergeCell ref="D161:D163"/>
    <mergeCell ref="E161:E163"/>
    <mergeCell ref="A147:D147"/>
    <mergeCell ref="A148:A150"/>
    <mergeCell ref="B148:B150"/>
    <mergeCell ref="C148:C150"/>
    <mergeCell ref="D148:D15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9"/>
  <sheetViews>
    <sheetView workbookViewId="0" topLeftCell="A79">
      <selection activeCell="A2" sqref="A2:K2"/>
    </sheetView>
  </sheetViews>
  <sheetFormatPr defaultColWidth="9.00390625" defaultRowHeight="12.75"/>
  <cols>
    <col min="1" max="1" width="44.875" style="0" customWidth="1"/>
    <col min="2" max="3" width="12.875" style="0" customWidth="1"/>
    <col min="4" max="4" width="12.50390625" style="0" customWidth="1"/>
    <col min="5" max="5" width="12.00390625" style="0" customWidth="1"/>
    <col min="6" max="6" width="72.125" style="0" customWidth="1"/>
    <col min="7" max="7" width="8.50390625" style="0" hidden="1" customWidth="1"/>
    <col min="8" max="11" width="9.125" style="0" hidden="1" customWidth="1"/>
    <col min="13" max="13" width="10.50390625" style="0" customWidth="1"/>
    <col min="14" max="14" width="9.50390625" style="0" bestFit="1" customWidth="1"/>
  </cols>
  <sheetData>
    <row r="1" spans="1:11" ht="20.25">
      <c r="A1" s="872" t="s">
        <v>292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</row>
    <row r="2" spans="1:11" ht="21" thickBot="1">
      <c r="A2" s="873" t="s">
        <v>6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</row>
    <row r="3" spans="1:23" ht="15">
      <c r="A3" s="89" t="s">
        <v>7</v>
      </c>
      <c r="B3" s="290" t="s">
        <v>137</v>
      </c>
      <c r="C3" s="93" t="s">
        <v>23</v>
      </c>
      <c r="D3" s="93" t="s">
        <v>165</v>
      </c>
      <c r="E3" s="290"/>
      <c r="F3" s="73" t="s">
        <v>136</v>
      </c>
      <c r="G3" s="9"/>
      <c r="H3" s="36"/>
      <c r="I3" s="1"/>
      <c r="J3" s="1"/>
      <c r="K3" s="41"/>
      <c r="N3" s="131"/>
      <c r="O3" s="25"/>
      <c r="P3" s="25"/>
      <c r="Q3" s="29"/>
      <c r="R3" s="29"/>
      <c r="S3" s="29"/>
      <c r="T3" s="29"/>
      <c r="U3" s="29"/>
      <c r="V3" s="29"/>
      <c r="W3" s="29"/>
    </row>
    <row r="4" spans="1:23" ht="15.75" thickBot="1">
      <c r="A4" s="102"/>
      <c r="B4" s="182">
        <v>2015</v>
      </c>
      <c r="C4" s="94" t="s">
        <v>164</v>
      </c>
      <c r="D4" s="94" t="s">
        <v>166</v>
      </c>
      <c r="E4" s="291"/>
      <c r="F4" s="74"/>
      <c r="G4" s="9"/>
      <c r="H4" s="36"/>
      <c r="I4" s="1"/>
      <c r="J4" s="1"/>
      <c r="K4" s="41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2" customFormat="1" ht="12.75" customHeight="1">
      <c r="A5" s="109" t="s">
        <v>134</v>
      </c>
      <c r="B5" s="345">
        <v>180273</v>
      </c>
      <c r="C5" s="189">
        <v>1200000</v>
      </c>
      <c r="D5" s="186"/>
      <c r="E5" s="47"/>
      <c r="F5" s="301" t="s">
        <v>83</v>
      </c>
      <c r="G5" s="4"/>
      <c r="H5" s="26"/>
      <c r="I5" s="65"/>
      <c r="J5" s="65"/>
      <c r="K5" s="69"/>
      <c r="L5" s="124"/>
      <c r="M5" s="124"/>
      <c r="N5" s="57"/>
      <c r="O5" s="57"/>
      <c r="P5" s="57"/>
      <c r="Q5" s="70"/>
      <c r="R5" s="70"/>
      <c r="S5" s="70"/>
      <c r="T5" s="70"/>
      <c r="U5" s="70"/>
      <c r="V5" s="70"/>
      <c r="W5" s="70"/>
    </row>
    <row r="6" spans="1:23" s="2" customFormat="1" ht="12.75" customHeight="1">
      <c r="A6" s="161" t="s">
        <v>135</v>
      </c>
      <c r="B6" s="346">
        <v>108606</v>
      </c>
      <c r="C6" s="190"/>
      <c r="D6" s="180"/>
      <c r="E6" s="42"/>
      <c r="F6" s="302" t="s">
        <v>109</v>
      </c>
      <c r="G6" s="4"/>
      <c r="H6" s="26"/>
      <c r="I6" s="65"/>
      <c r="J6" s="65"/>
      <c r="K6" s="69"/>
      <c r="L6" s="124"/>
      <c r="M6" s="124"/>
      <c r="N6" s="57"/>
      <c r="O6" s="57"/>
      <c r="P6" s="57"/>
      <c r="Q6" s="70"/>
      <c r="R6" s="70"/>
      <c r="S6" s="70"/>
      <c r="T6" s="70"/>
      <c r="U6" s="70"/>
      <c r="V6" s="70"/>
      <c r="W6" s="70"/>
    </row>
    <row r="7" spans="1:23" s="2" customFormat="1" ht="12.75" customHeight="1">
      <c r="A7" s="161" t="s">
        <v>34</v>
      </c>
      <c r="B7" s="346">
        <v>850526</v>
      </c>
      <c r="C7" s="190"/>
      <c r="D7" s="187"/>
      <c r="E7" s="58"/>
      <c r="F7" s="222"/>
      <c r="G7" s="4"/>
      <c r="H7" s="26"/>
      <c r="I7" s="65"/>
      <c r="J7" s="65"/>
      <c r="K7" s="69"/>
      <c r="L7" s="129"/>
      <c r="M7" s="124"/>
      <c r="N7" s="57"/>
      <c r="O7" s="57"/>
      <c r="P7" s="57"/>
      <c r="Q7" s="132"/>
      <c r="R7" s="70"/>
      <c r="S7" s="70"/>
      <c r="T7" s="70"/>
      <c r="U7" s="70"/>
      <c r="V7" s="70"/>
      <c r="W7" s="70"/>
    </row>
    <row r="8" spans="1:23" s="2" customFormat="1" ht="12.75" customHeight="1">
      <c r="A8" s="90" t="s">
        <v>1</v>
      </c>
      <c r="B8" s="292">
        <v>7811</v>
      </c>
      <c r="C8" s="292">
        <v>50000</v>
      </c>
      <c r="D8" s="113"/>
      <c r="E8" s="49"/>
      <c r="F8" s="222"/>
      <c r="G8" s="4"/>
      <c r="H8" s="26"/>
      <c r="I8" s="65"/>
      <c r="J8" s="65"/>
      <c r="K8" s="69"/>
      <c r="L8" s="124"/>
      <c r="M8" s="124"/>
      <c r="N8" s="57"/>
      <c r="O8" s="57"/>
      <c r="P8" s="57"/>
      <c r="Q8" s="70"/>
      <c r="R8" s="70"/>
      <c r="S8" s="70"/>
      <c r="T8" s="70"/>
      <c r="U8" s="70"/>
      <c r="V8" s="70"/>
      <c r="W8" s="70"/>
    </row>
    <row r="9" spans="1:23" s="2" customFormat="1" ht="12.75" customHeight="1">
      <c r="A9" s="90" t="s">
        <v>8</v>
      </c>
      <c r="B9" s="42">
        <v>357616</v>
      </c>
      <c r="C9" s="42">
        <f>395000+30000</f>
        <v>425000</v>
      </c>
      <c r="D9" s="113"/>
      <c r="E9" s="42"/>
      <c r="F9" s="293" t="s">
        <v>156</v>
      </c>
      <c r="G9" s="4"/>
      <c r="H9" s="26"/>
      <c r="I9" s="65"/>
      <c r="J9" s="65"/>
      <c r="K9" s="69"/>
      <c r="L9" s="124"/>
      <c r="M9" s="124"/>
      <c r="N9" s="57"/>
      <c r="O9" s="57"/>
      <c r="P9" s="57"/>
      <c r="Q9" s="70"/>
      <c r="R9" s="70"/>
      <c r="S9" s="70"/>
      <c r="T9" s="70"/>
      <c r="U9" s="70"/>
      <c r="V9" s="70"/>
      <c r="W9" s="70"/>
    </row>
    <row r="10" spans="1:23" s="2" customFormat="1" ht="12.75" customHeight="1">
      <c r="A10" s="90" t="s">
        <v>18</v>
      </c>
      <c r="B10" s="42">
        <v>3612701</v>
      </c>
      <c r="C10" s="42">
        <f>3216213+613376</f>
        <v>3829589</v>
      </c>
      <c r="D10" s="113"/>
      <c r="E10" s="42"/>
      <c r="F10" s="293" t="s">
        <v>152</v>
      </c>
      <c r="G10" s="4"/>
      <c r="H10" s="26"/>
      <c r="I10" s="65"/>
      <c r="J10" s="65"/>
      <c r="K10" s="69"/>
      <c r="L10" s="124"/>
      <c r="M10" s="124"/>
      <c r="N10" s="57"/>
      <c r="O10" s="57"/>
      <c r="P10" s="57"/>
      <c r="Q10" s="70"/>
      <c r="R10" s="70"/>
      <c r="S10" s="70"/>
      <c r="T10" s="70"/>
      <c r="U10" s="70"/>
      <c r="V10" s="70"/>
      <c r="W10" s="70"/>
    </row>
    <row r="11" spans="1:23" s="2" customFormat="1" ht="12.75" customHeight="1">
      <c r="A11" s="90" t="s">
        <v>9</v>
      </c>
      <c r="B11" s="48">
        <v>318584</v>
      </c>
      <c r="C11" s="48">
        <v>230000</v>
      </c>
      <c r="D11" s="113"/>
      <c r="E11" s="48"/>
      <c r="F11" s="302" t="s">
        <v>96</v>
      </c>
      <c r="G11" s="4"/>
      <c r="H11" s="26"/>
      <c r="I11" s="65"/>
      <c r="J11" s="65"/>
      <c r="K11" s="69"/>
      <c r="L11" s="124"/>
      <c r="M11" s="124"/>
      <c r="N11" s="57"/>
      <c r="O11" s="57"/>
      <c r="P11" s="57"/>
      <c r="Q11" s="70"/>
      <c r="R11" s="70"/>
      <c r="S11" s="70"/>
      <c r="T11" s="70"/>
      <c r="U11" s="70"/>
      <c r="V11" s="70"/>
      <c r="W11" s="70"/>
    </row>
    <row r="12" spans="1:23" s="2" customFormat="1" ht="12.75" customHeight="1">
      <c r="A12" s="90" t="s">
        <v>10</v>
      </c>
      <c r="B12" s="92">
        <v>3339761</v>
      </c>
      <c r="C12" s="92">
        <v>3903150</v>
      </c>
      <c r="D12" s="198"/>
      <c r="E12" s="92"/>
      <c r="F12" s="293" t="s">
        <v>155</v>
      </c>
      <c r="G12" s="4"/>
      <c r="H12" s="26"/>
      <c r="I12" s="81"/>
      <c r="J12" s="81"/>
      <c r="K12" s="69"/>
      <c r="L12" s="124"/>
      <c r="M12" s="124"/>
      <c r="N12" s="57"/>
      <c r="O12" s="57"/>
      <c r="P12" s="57"/>
      <c r="Q12" s="70"/>
      <c r="R12" s="70"/>
      <c r="S12" s="70"/>
      <c r="T12" s="70"/>
      <c r="U12" s="70"/>
      <c r="V12" s="70"/>
      <c r="W12" s="70"/>
    </row>
    <row r="13" spans="1:23" s="2" customFormat="1" ht="12.75" customHeight="1">
      <c r="A13" s="164" t="s">
        <v>139</v>
      </c>
      <c r="B13" s="92"/>
      <c r="C13" s="92">
        <v>100000</v>
      </c>
      <c r="D13" s="198"/>
      <c r="E13" s="92"/>
      <c r="F13" s="293" t="s">
        <v>154</v>
      </c>
      <c r="G13" s="4"/>
      <c r="H13" s="26"/>
      <c r="I13" s="81"/>
      <c r="J13" s="81"/>
      <c r="K13" s="69"/>
      <c r="L13" s="124"/>
      <c r="M13" s="124"/>
      <c r="N13" s="57"/>
      <c r="O13" s="57"/>
      <c r="P13" s="57"/>
      <c r="Q13" s="70"/>
      <c r="R13" s="70"/>
      <c r="S13" s="70"/>
      <c r="T13" s="70"/>
      <c r="U13" s="70"/>
      <c r="V13" s="70"/>
      <c r="W13" s="70"/>
    </row>
    <row r="14" spans="1:23" s="2" customFormat="1" ht="12.75" customHeight="1">
      <c r="A14" s="91" t="s">
        <v>39</v>
      </c>
      <c r="B14" s="42">
        <v>950000</v>
      </c>
      <c r="C14" s="42">
        <v>950000</v>
      </c>
      <c r="D14" s="183"/>
      <c r="E14" s="42"/>
      <c r="F14" s="222"/>
      <c r="G14" s="4"/>
      <c r="H14" s="53"/>
      <c r="I14" s="66"/>
      <c r="J14" s="66"/>
      <c r="K14" s="69"/>
      <c r="L14" s="124"/>
      <c r="M14" s="124"/>
      <c r="N14" s="57"/>
      <c r="O14" s="57"/>
      <c r="P14" s="57"/>
      <c r="Q14" s="70"/>
      <c r="R14" s="70"/>
      <c r="S14" s="70"/>
      <c r="T14" s="70"/>
      <c r="U14" s="70"/>
      <c r="V14" s="70"/>
      <c r="W14" s="70"/>
    </row>
    <row r="15" spans="1:23" s="2" customFormat="1" ht="12.75" customHeight="1">
      <c r="A15" s="91" t="s">
        <v>69</v>
      </c>
      <c r="B15" s="42">
        <v>42000</v>
      </c>
      <c r="C15" s="42">
        <v>35000</v>
      </c>
      <c r="D15" s="112"/>
      <c r="E15" s="42"/>
      <c r="F15" s="293" t="s">
        <v>142</v>
      </c>
      <c r="G15" s="4"/>
      <c r="H15" s="53"/>
      <c r="I15" s="66"/>
      <c r="J15" s="66"/>
      <c r="K15" s="69"/>
      <c r="L15" s="124"/>
      <c r="M15" s="124"/>
      <c r="N15" s="57"/>
      <c r="O15" s="57"/>
      <c r="P15" s="57"/>
      <c r="Q15" s="70"/>
      <c r="R15" s="70"/>
      <c r="S15" s="70"/>
      <c r="T15" s="70"/>
      <c r="U15" s="70"/>
      <c r="V15" s="70"/>
      <c r="W15" s="70"/>
    </row>
    <row r="16" spans="1:23" s="2" customFormat="1" ht="12.75" customHeight="1">
      <c r="A16" s="91" t="s">
        <v>24</v>
      </c>
      <c r="B16" s="49"/>
      <c r="C16" s="49">
        <v>40000</v>
      </c>
      <c r="D16" s="112"/>
      <c r="E16" s="49"/>
      <c r="F16" s="222"/>
      <c r="G16" s="4"/>
      <c r="H16" s="53"/>
      <c r="I16" s="66"/>
      <c r="J16" s="66"/>
      <c r="K16" s="69"/>
      <c r="L16" s="124"/>
      <c r="M16" s="124"/>
      <c r="N16" s="57"/>
      <c r="O16" s="57"/>
      <c r="P16" s="57"/>
      <c r="Q16" s="70"/>
      <c r="R16" s="70"/>
      <c r="S16" s="70"/>
      <c r="T16" s="70"/>
      <c r="U16" s="70"/>
      <c r="V16" s="70"/>
      <c r="W16" s="70"/>
    </row>
    <row r="17" spans="1:23" s="2" customFormat="1" ht="12.75" customHeight="1">
      <c r="A17" s="91" t="s">
        <v>25</v>
      </c>
      <c r="B17" s="49"/>
      <c r="C17" s="49">
        <v>40000</v>
      </c>
      <c r="D17" s="112"/>
      <c r="E17" s="49"/>
      <c r="F17" s="222"/>
      <c r="G17" s="4"/>
      <c r="H17" s="53"/>
      <c r="I17" s="66"/>
      <c r="J17" s="66"/>
      <c r="K17" s="69"/>
      <c r="L17" s="124"/>
      <c r="M17" s="124"/>
      <c r="N17" s="57"/>
      <c r="O17" s="57"/>
      <c r="P17" s="57"/>
      <c r="Q17" s="70"/>
      <c r="R17" s="70"/>
      <c r="S17" s="70"/>
      <c r="T17" s="70"/>
      <c r="U17" s="70"/>
      <c r="V17" s="70"/>
      <c r="W17" s="70"/>
    </row>
    <row r="18" spans="1:23" s="2" customFormat="1" ht="12.75" customHeight="1">
      <c r="A18" s="91" t="s">
        <v>26</v>
      </c>
      <c r="B18" s="49"/>
      <c r="C18" s="49">
        <v>120000</v>
      </c>
      <c r="D18" s="112"/>
      <c r="E18" s="49"/>
      <c r="F18" s="222"/>
      <c r="G18" s="4"/>
      <c r="H18" s="53"/>
      <c r="I18" s="66"/>
      <c r="J18" s="66"/>
      <c r="K18" s="69"/>
      <c r="L18" s="124"/>
      <c r="M18" s="124"/>
      <c r="N18" s="57"/>
      <c r="O18" s="57"/>
      <c r="P18" s="57"/>
      <c r="Q18" s="70"/>
      <c r="R18" s="70"/>
      <c r="S18" s="70"/>
      <c r="T18" s="70"/>
      <c r="U18" s="70"/>
      <c r="V18" s="70"/>
      <c r="W18" s="70"/>
    </row>
    <row r="19" spans="1:23" s="2" customFormat="1" ht="12.75" customHeight="1">
      <c r="A19" s="91" t="s">
        <v>20</v>
      </c>
      <c r="B19" s="247"/>
      <c r="C19" s="247">
        <v>402930</v>
      </c>
      <c r="D19" s="112"/>
      <c r="E19" s="247"/>
      <c r="F19" s="302" t="s">
        <v>153</v>
      </c>
      <c r="G19" s="4"/>
      <c r="H19" s="53"/>
      <c r="I19" s="66"/>
      <c r="J19" s="66"/>
      <c r="K19" s="69"/>
      <c r="L19" s="124"/>
      <c r="M19" s="124"/>
      <c r="N19" s="57"/>
      <c r="O19" s="57"/>
      <c r="P19" s="57"/>
      <c r="Q19" s="70"/>
      <c r="R19" s="70"/>
      <c r="S19" s="70"/>
      <c r="T19" s="70"/>
      <c r="U19" s="70"/>
      <c r="V19" s="70"/>
      <c r="W19" s="70"/>
    </row>
    <row r="20" spans="1:23" s="2" customFormat="1" ht="12.75" customHeight="1">
      <c r="A20" s="91" t="s">
        <v>40</v>
      </c>
      <c r="B20" s="49"/>
      <c r="C20" s="49">
        <v>50000</v>
      </c>
      <c r="D20" s="112"/>
      <c r="E20" s="49"/>
      <c r="F20" s="222"/>
      <c r="G20" s="4"/>
      <c r="H20" s="53"/>
      <c r="I20" s="66"/>
      <c r="J20" s="66"/>
      <c r="K20" s="69"/>
      <c r="L20" s="124"/>
      <c r="M20" s="124"/>
      <c r="N20" s="57"/>
      <c r="O20" s="57"/>
      <c r="P20" s="57"/>
      <c r="Q20" s="70"/>
      <c r="R20" s="70"/>
      <c r="S20" s="70"/>
      <c r="T20" s="70"/>
      <c r="U20" s="70"/>
      <c r="V20" s="70"/>
      <c r="W20" s="70"/>
    </row>
    <row r="21" spans="1:23" s="2" customFormat="1" ht="12.75" customHeight="1">
      <c r="A21" s="91" t="s">
        <v>41</v>
      </c>
      <c r="B21" s="49"/>
      <c r="C21" s="49">
        <v>30000</v>
      </c>
      <c r="D21" s="112"/>
      <c r="E21" s="49"/>
      <c r="F21" s="222"/>
      <c r="G21" s="4"/>
      <c r="H21" s="53"/>
      <c r="I21" s="66"/>
      <c r="J21" s="66"/>
      <c r="K21" s="69"/>
      <c r="L21" s="124"/>
      <c r="M21" s="124"/>
      <c r="N21" s="57"/>
      <c r="O21" s="57"/>
      <c r="P21" s="57"/>
      <c r="Q21" s="70"/>
      <c r="R21" s="70"/>
      <c r="S21" s="70"/>
      <c r="T21" s="70"/>
      <c r="U21" s="70"/>
      <c r="V21" s="70"/>
      <c r="W21" s="70"/>
    </row>
    <row r="22" spans="1:23" s="2" customFormat="1" ht="12.75" customHeight="1">
      <c r="A22" s="91" t="s">
        <v>42</v>
      </c>
      <c r="B22" s="49"/>
      <c r="C22" s="49">
        <v>100000</v>
      </c>
      <c r="D22" s="112"/>
      <c r="E22" s="49"/>
      <c r="F22" s="293" t="s">
        <v>141</v>
      </c>
      <c r="G22" s="4"/>
      <c r="H22" s="53"/>
      <c r="I22" s="66"/>
      <c r="J22" s="66"/>
      <c r="K22" s="69"/>
      <c r="L22" s="124"/>
      <c r="M22" s="124"/>
      <c r="N22" s="57"/>
      <c r="O22" s="57"/>
      <c r="P22" s="57"/>
      <c r="Q22" s="70"/>
      <c r="R22" s="70"/>
      <c r="S22" s="70"/>
      <c r="T22" s="70"/>
      <c r="U22" s="70"/>
      <c r="V22" s="70"/>
      <c r="W22" s="70"/>
    </row>
    <row r="23" spans="1:23" s="2" customFormat="1" ht="12.75" customHeight="1">
      <c r="A23" s="91" t="s">
        <v>43</v>
      </c>
      <c r="B23" s="49"/>
      <c r="C23" s="49">
        <v>400000</v>
      </c>
      <c r="D23" s="112"/>
      <c r="E23" s="49"/>
      <c r="F23" s="293" t="s">
        <v>146</v>
      </c>
      <c r="G23" s="4"/>
      <c r="H23" s="53"/>
      <c r="I23" s="66"/>
      <c r="J23" s="66"/>
      <c r="K23" s="69"/>
      <c r="L23" s="124"/>
      <c r="M23" s="124"/>
      <c r="N23" s="57"/>
      <c r="O23" s="57"/>
      <c r="P23" s="57"/>
      <c r="Q23" s="70"/>
      <c r="R23" s="70"/>
      <c r="S23" s="70"/>
      <c r="T23" s="70"/>
      <c r="U23" s="70"/>
      <c r="V23" s="70"/>
      <c r="W23" s="70"/>
    </row>
    <row r="24" spans="1:23" s="2" customFormat="1" ht="12.75" customHeight="1">
      <c r="A24" s="91" t="s">
        <v>44</v>
      </c>
      <c r="B24" s="49"/>
      <c r="C24" s="49">
        <v>20000</v>
      </c>
      <c r="D24" s="112"/>
      <c r="E24" s="49"/>
      <c r="F24" s="222"/>
      <c r="G24" s="4"/>
      <c r="H24" s="53"/>
      <c r="I24" s="66"/>
      <c r="J24" s="66"/>
      <c r="K24" s="69"/>
      <c r="L24" s="124"/>
      <c r="M24" s="124"/>
      <c r="N24" s="57"/>
      <c r="O24" s="57"/>
      <c r="P24" s="57"/>
      <c r="Q24" s="70"/>
      <c r="R24" s="70"/>
      <c r="S24" s="70"/>
      <c r="T24" s="70"/>
      <c r="U24" s="70"/>
      <c r="V24" s="70"/>
      <c r="W24" s="70"/>
    </row>
    <row r="25" spans="1:23" s="2" customFormat="1" ht="12.75" customHeight="1">
      <c r="A25" s="91" t="s">
        <v>27</v>
      </c>
      <c r="B25" s="49"/>
      <c r="C25" s="49">
        <v>60000</v>
      </c>
      <c r="D25" s="112"/>
      <c r="E25" s="49"/>
      <c r="F25" s="222"/>
      <c r="G25" s="4"/>
      <c r="H25" s="53"/>
      <c r="I25" s="66"/>
      <c r="J25" s="66"/>
      <c r="K25" s="69"/>
      <c r="L25" s="124"/>
      <c r="M25" s="124"/>
      <c r="N25" s="57"/>
      <c r="O25" s="57"/>
      <c r="P25" s="57"/>
      <c r="Q25" s="70"/>
      <c r="R25" s="70"/>
      <c r="S25" s="70"/>
      <c r="T25" s="70"/>
      <c r="U25" s="70"/>
      <c r="V25" s="70"/>
      <c r="W25" s="70"/>
    </row>
    <row r="26" spans="1:23" s="2" customFormat="1" ht="12.75" customHeight="1">
      <c r="A26" s="91" t="s">
        <v>28</v>
      </c>
      <c r="B26" s="49"/>
      <c r="C26" s="49">
        <v>20000</v>
      </c>
      <c r="D26" s="112"/>
      <c r="E26" s="49"/>
      <c r="F26" s="222"/>
      <c r="G26" s="4"/>
      <c r="H26" s="53"/>
      <c r="I26" s="66"/>
      <c r="J26" s="66"/>
      <c r="K26" s="69"/>
      <c r="L26" s="124"/>
      <c r="M26" s="124"/>
      <c r="N26" s="57"/>
      <c r="O26" s="57"/>
      <c r="P26" s="57"/>
      <c r="Q26" s="70"/>
      <c r="R26" s="70"/>
      <c r="S26" s="70"/>
      <c r="T26" s="70"/>
      <c r="U26" s="70"/>
      <c r="V26" s="70"/>
      <c r="W26" s="70"/>
    </row>
    <row r="27" spans="1:23" s="2" customFormat="1" ht="12.75" customHeight="1">
      <c r="A27" s="91" t="s">
        <v>35</v>
      </c>
      <c r="B27" s="49"/>
      <c r="C27" s="49">
        <v>15000</v>
      </c>
      <c r="D27" s="112"/>
      <c r="E27" s="49"/>
      <c r="F27" s="222"/>
      <c r="G27" s="4"/>
      <c r="H27" s="53"/>
      <c r="I27" s="66"/>
      <c r="J27" s="66"/>
      <c r="K27" s="69"/>
      <c r="L27" s="124"/>
      <c r="M27" s="124"/>
      <c r="N27" s="57"/>
      <c r="O27" s="57"/>
      <c r="P27" s="57"/>
      <c r="Q27" s="70"/>
      <c r="R27" s="70"/>
      <c r="S27" s="70"/>
      <c r="T27" s="70"/>
      <c r="U27" s="70"/>
      <c r="V27" s="70"/>
      <c r="W27" s="70"/>
    </row>
    <row r="28" spans="1:23" s="2" customFormat="1" ht="12.75" customHeight="1">
      <c r="A28" s="91" t="s">
        <v>45</v>
      </c>
      <c r="B28" s="49"/>
      <c r="C28" s="49">
        <v>20000</v>
      </c>
      <c r="D28" s="112"/>
      <c r="E28" s="49"/>
      <c r="F28" s="222"/>
      <c r="G28" s="4"/>
      <c r="H28" s="53"/>
      <c r="I28" s="66"/>
      <c r="J28" s="66"/>
      <c r="K28" s="69"/>
      <c r="L28" s="124"/>
      <c r="M28" s="124"/>
      <c r="N28" s="57"/>
      <c r="O28" s="57"/>
      <c r="P28" s="57"/>
      <c r="Q28" s="70"/>
      <c r="R28" s="70"/>
      <c r="S28" s="70"/>
      <c r="T28" s="70"/>
      <c r="U28" s="70"/>
      <c r="V28" s="70"/>
      <c r="W28" s="70"/>
    </row>
    <row r="29" spans="1:23" s="2" customFormat="1" ht="12.75" customHeight="1">
      <c r="A29" s="91" t="s">
        <v>46</v>
      </c>
      <c r="B29" s="49"/>
      <c r="C29" s="49">
        <v>50000</v>
      </c>
      <c r="D29" s="112"/>
      <c r="E29" s="49"/>
      <c r="F29" s="293" t="s">
        <v>143</v>
      </c>
      <c r="G29" s="4"/>
      <c r="H29" s="53"/>
      <c r="I29" s="66"/>
      <c r="J29" s="66"/>
      <c r="K29" s="69"/>
      <c r="L29" s="124"/>
      <c r="M29" s="124"/>
      <c r="N29" s="57"/>
      <c r="O29" s="57"/>
      <c r="P29" s="57"/>
      <c r="Q29" s="70"/>
      <c r="R29" s="70"/>
      <c r="S29" s="70"/>
      <c r="T29" s="70"/>
      <c r="U29" s="70"/>
      <c r="V29" s="70"/>
      <c r="W29" s="70"/>
    </row>
    <row r="30" spans="1:23" s="2" customFormat="1" ht="12.75" customHeight="1">
      <c r="A30" s="252" t="s">
        <v>90</v>
      </c>
      <c r="B30" s="49"/>
      <c r="C30" s="49">
        <v>10000</v>
      </c>
      <c r="D30" s="254"/>
      <c r="E30" s="49"/>
      <c r="F30" s="293" t="s">
        <v>144</v>
      </c>
      <c r="G30" s="4"/>
      <c r="H30" s="53"/>
      <c r="I30" s="66"/>
      <c r="J30" s="66"/>
      <c r="K30" s="69"/>
      <c r="L30" s="124"/>
      <c r="M30" s="124"/>
      <c r="N30" s="57"/>
      <c r="O30" s="57"/>
      <c r="P30" s="57"/>
      <c r="Q30" s="70"/>
      <c r="R30" s="70"/>
      <c r="S30" s="70"/>
      <c r="T30" s="70"/>
      <c r="U30" s="70"/>
      <c r="V30" s="70"/>
      <c r="W30" s="70"/>
    </row>
    <row r="31" spans="1:23" s="2" customFormat="1" ht="12.75" customHeight="1">
      <c r="A31" s="251" t="s">
        <v>91</v>
      </c>
      <c r="B31" s="49"/>
      <c r="C31" s="49">
        <v>20000</v>
      </c>
      <c r="D31" s="16"/>
      <c r="E31" s="49"/>
      <c r="F31" s="293" t="s">
        <v>145</v>
      </c>
      <c r="G31" s="4"/>
      <c r="H31" s="53"/>
      <c r="I31" s="66"/>
      <c r="J31" s="66"/>
      <c r="K31" s="69"/>
      <c r="L31" s="124"/>
      <c r="M31" s="124"/>
      <c r="N31" s="57"/>
      <c r="O31" s="57"/>
      <c r="P31" s="57"/>
      <c r="Q31" s="70"/>
      <c r="R31" s="70"/>
      <c r="S31" s="70"/>
      <c r="T31" s="70"/>
      <c r="U31" s="70"/>
      <c r="V31" s="70"/>
      <c r="W31" s="70"/>
    </row>
    <row r="32" spans="1:23" s="2" customFormat="1" ht="12.75" customHeight="1">
      <c r="A32" s="184" t="s">
        <v>75</v>
      </c>
      <c r="B32" s="49"/>
      <c r="C32" s="49">
        <v>100000</v>
      </c>
      <c r="D32" s="180"/>
      <c r="E32" s="49"/>
      <c r="F32" s="222"/>
      <c r="G32" s="4"/>
      <c r="H32" s="53"/>
      <c r="I32" s="66"/>
      <c r="J32" s="66"/>
      <c r="K32" s="69"/>
      <c r="L32" s="124"/>
      <c r="M32" s="124"/>
      <c r="N32" s="57"/>
      <c r="O32" s="57"/>
      <c r="P32" s="57"/>
      <c r="Q32" s="70"/>
      <c r="R32" s="70"/>
      <c r="S32" s="70"/>
      <c r="T32" s="70"/>
      <c r="U32" s="70"/>
      <c r="V32" s="70"/>
      <c r="W32" s="70"/>
    </row>
    <row r="33" spans="1:23" s="2" customFormat="1" ht="12.75" customHeight="1">
      <c r="A33" s="91" t="s">
        <v>84</v>
      </c>
      <c r="B33" s="49"/>
      <c r="C33" s="49">
        <v>20000</v>
      </c>
      <c r="D33" s="112"/>
      <c r="E33" s="49"/>
      <c r="F33" s="222"/>
      <c r="G33" s="4"/>
      <c r="H33" s="53"/>
      <c r="I33" s="66"/>
      <c r="J33" s="66"/>
      <c r="K33" s="69"/>
      <c r="L33" s="124"/>
      <c r="M33" s="124"/>
      <c r="N33" s="57"/>
      <c r="O33" s="57"/>
      <c r="P33" s="57"/>
      <c r="Q33" s="70"/>
      <c r="R33" s="70"/>
      <c r="S33" s="70"/>
      <c r="T33" s="70"/>
      <c r="U33" s="70"/>
      <c r="V33" s="70"/>
      <c r="W33" s="70"/>
    </row>
    <row r="34" spans="1:23" s="2" customFormat="1" ht="12.75" customHeight="1" thickBot="1">
      <c r="A34" s="303" t="s">
        <v>157</v>
      </c>
      <c r="B34" s="43"/>
      <c r="C34" s="43">
        <v>804726</v>
      </c>
      <c r="D34" s="304"/>
      <c r="E34" s="43"/>
      <c r="F34" s="339" t="s">
        <v>158</v>
      </c>
      <c r="G34" s="4"/>
      <c r="H34" s="26"/>
      <c r="I34" s="81"/>
      <c r="J34" s="81"/>
      <c r="K34" s="69"/>
      <c r="L34" s="124"/>
      <c r="M34" s="124"/>
      <c r="N34" s="57"/>
      <c r="O34" s="57"/>
      <c r="P34" s="57"/>
      <c r="Q34" s="70"/>
      <c r="R34" s="70"/>
      <c r="S34" s="70"/>
      <c r="T34" s="70"/>
      <c r="U34" s="70"/>
      <c r="V34" s="70"/>
      <c r="W34" s="70"/>
    </row>
    <row r="35" spans="1:16" s="11" customFormat="1" ht="14.25" thickBot="1">
      <c r="A35" s="185" t="s">
        <v>2</v>
      </c>
      <c r="B35" s="196">
        <f>SUM(B5:B34)</f>
        <v>9767878</v>
      </c>
      <c r="C35" s="196">
        <f>SUM(C5:C34)</f>
        <v>13045395</v>
      </c>
      <c r="D35" s="188">
        <f>SUM(D5:D34)</f>
        <v>0</v>
      </c>
      <c r="E35" s="44">
        <f>SUM(E5:E34)</f>
        <v>0</v>
      </c>
      <c r="F35" s="223"/>
      <c r="G35" s="5"/>
      <c r="H35" s="56"/>
      <c r="I35" s="82"/>
      <c r="J35" s="82"/>
      <c r="K35" s="83"/>
      <c r="L35" s="124"/>
      <c r="M35" s="124"/>
      <c r="N35" s="7"/>
      <c r="O35" s="7"/>
      <c r="P35" s="7"/>
    </row>
    <row r="36" spans="1:22" ht="15.75" thickBot="1">
      <c r="A36" s="12"/>
      <c r="B36" s="13"/>
      <c r="C36" s="13"/>
      <c r="D36" s="22"/>
      <c r="E36" s="22"/>
      <c r="F36" s="14"/>
      <c r="G36" s="4"/>
      <c r="H36" s="64"/>
      <c r="I36" s="65"/>
      <c r="J36" s="65"/>
      <c r="K36" s="33"/>
      <c r="L36" s="124"/>
      <c r="M36" s="124"/>
      <c r="N36" s="7"/>
      <c r="O36" s="7"/>
      <c r="P36" s="7"/>
      <c r="T36" s="10"/>
      <c r="U36" s="10"/>
      <c r="V36" s="10"/>
    </row>
    <row r="37" spans="1:22" ht="15.75" thickBot="1">
      <c r="A37" s="169" t="s">
        <v>3</v>
      </c>
      <c r="B37" s="14"/>
      <c r="C37" s="14"/>
      <c r="D37" s="22"/>
      <c r="E37" s="22"/>
      <c r="F37" s="14"/>
      <c r="G37" s="14"/>
      <c r="H37" s="64"/>
      <c r="I37" s="65"/>
      <c r="J37" s="65"/>
      <c r="K37" s="33"/>
      <c r="L37" s="124"/>
      <c r="M37" s="124"/>
      <c r="N37" s="7"/>
      <c r="O37" s="7"/>
      <c r="P37" s="7"/>
      <c r="T37" s="10"/>
      <c r="U37" s="5"/>
      <c r="V37" s="10"/>
    </row>
    <row r="38" spans="1:22" s="2" customFormat="1" ht="12.75" customHeight="1">
      <c r="A38" s="119" t="s">
        <v>11</v>
      </c>
      <c r="B38" s="47"/>
      <c r="C38" s="47">
        <v>2250000</v>
      </c>
      <c r="D38" s="45"/>
      <c r="E38" s="201"/>
      <c r="F38" s="260"/>
      <c r="G38" s="26"/>
      <c r="H38" s="30"/>
      <c r="I38" s="65"/>
      <c r="J38" s="65"/>
      <c r="K38" s="69"/>
      <c r="N38" s="57"/>
      <c r="O38" s="16"/>
      <c r="P38" s="57"/>
      <c r="Q38" s="70"/>
      <c r="R38" s="70"/>
      <c r="S38" s="70"/>
      <c r="T38" s="69"/>
      <c r="U38" s="69"/>
      <c r="V38" s="69"/>
    </row>
    <row r="39" spans="1:22" s="2" customFormat="1" ht="12.75" customHeight="1">
      <c r="A39" s="106" t="s">
        <v>12</v>
      </c>
      <c r="B39" s="42"/>
      <c r="C39" s="42">
        <v>20000</v>
      </c>
      <c r="D39" s="46"/>
      <c r="E39" s="42"/>
      <c r="F39" s="261"/>
      <c r="G39" s="26"/>
      <c r="H39" s="30"/>
      <c r="I39" s="65"/>
      <c r="J39" s="65"/>
      <c r="K39" s="69"/>
      <c r="M39" s="70"/>
      <c r="N39" s="57"/>
      <c r="O39" s="16"/>
      <c r="P39" s="57"/>
      <c r="Q39" s="70"/>
      <c r="R39" s="70"/>
      <c r="S39" s="70"/>
      <c r="T39" s="69"/>
      <c r="U39" s="69"/>
      <c r="V39" s="69"/>
    </row>
    <row r="40" spans="1:22" s="2" customFormat="1" ht="12.75" customHeight="1">
      <c r="A40" s="101" t="s">
        <v>19</v>
      </c>
      <c r="B40" s="322"/>
      <c r="C40" s="322">
        <v>950000</v>
      </c>
      <c r="D40" s="46"/>
      <c r="E40" s="42"/>
      <c r="F40" s="261"/>
      <c r="G40" s="53"/>
      <c r="H40" s="30"/>
      <c r="I40" s="65"/>
      <c r="J40" s="65"/>
      <c r="K40" s="69"/>
      <c r="M40" s="16"/>
      <c r="N40" s="57"/>
      <c r="O40" s="16"/>
      <c r="P40" s="57"/>
      <c r="Q40" s="70"/>
      <c r="R40" s="70"/>
      <c r="S40" s="70"/>
      <c r="T40" s="69"/>
      <c r="U40" s="69"/>
      <c r="V40" s="69"/>
    </row>
    <row r="41" spans="1:22" s="2" customFormat="1" ht="12.75" customHeight="1">
      <c r="A41" s="120" t="s">
        <v>4</v>
      </c>
      <c r="B41" s="321"/>
      <c r="C41" s="321">
        <f>7829935-16850+116213+68376+100000+30000+46529+30262</f>
        <v>8204465</v>
      </c>
      <c r="D41" s="130"/>
      <c r="E41" s="200"/>
      <c r="F41" s="268"/>
      <c r="G41" s="53"/>
      <c r="H41" s="30"/>
      <c r="I41" s="65"/>
      <c r="J41" s="65"/>
      <c r="K41" s="69"/>
      <c r="M41" s="16"/>
      <c r="N41" s="57"/>
      <c r="O41" s="16"/>
      <c r="P41" s="57"/>
      <c r="Q41" s="132"/>
      <c r="R41" s="70"/>
      <c r="S41" s="70"/>
      <c r="T41" s="69"/>
      <c r="U41" s="69"/>
      <c r="V41" s="5"/>
    </row>
    <row r="42" spans="1:22" s="2" customFormat="1" ht="12.75" customHeight="1">
      <c r="A42" s="120" t="s">
        <v>21</v>
      </c>
      <c r="B42" s="320"/>
      <c r="C42" s="320">
        <v>402930</v>
      </c>
      <c r="D42" s="100"/>
      <c r="E42" s="48"/>
      <c r="F42" s="268"/>
      <c r="G42" s="53"/>
      <c r="H42" s="30"/>
      <c r="I42" s="65"/>
      <c r="J42" s="65"/>
      <c r="K42" s="69"/>
      <c r="M42" s="16"/>
      <c r="N42" s="57"/>
      <c r="O42" s="28"/>
      <c r="P42" s="57"/>
      <c r="Q42" s="70"/>
      <c r="R42" s="70"/>
      <c r="S42" s="70"/>
      <c r="T42" s="69"/>
      <c r="U42" s="69"/>
      <c r="V42" s="69"/>
    </row>
    <row r="43" spans="1:19" s="2" customFormat="1" ht="12.75" customHeight="1">
      <c r="A43" s="122" t="s">
        <v>29</v>
      </c>
      <c r="B43" s="323"/>
      <c r="C43" s="323">
        <v>35000</v>
      </c>
      <c r="D43" s="100"/>
      <c r="E43" s="48"/>
      <c r="F43" s="268"/>
      <c r="G43" s="53"/>
      <c r="H43" s="30"/>
      <c r="I43" s="65"/>
      <c r="J43" s="65"/>
      <c r="K43" s="69"/>
      <c r="M43" s="28"/>
      <c r="N43" s="57"/>
      <c r="O43" s="16"/>
      <c r="P43" s="57"/>
      <c r="Q43" s="70"/>
      <c r="R43" s="70"/>
      <c r="S43" s="70"/>
    </row>
    <row r="44" spans="1:19" s="2" customFormat="1" ht="12.75" customHeight="1">
      <c r="A44" s="107" t="s">
        <v>50</v>
      </c>
      <c r="B44" s="323"/>
      <c r="C44" s="323">
        <v>40000</v>
      </c>
      <c r="D44" s="100"/>
      <c r="E44" s="48"/>
      <c r="F44" s="262"/>
      <c r="G44" s="26"/>
      <c r="H44" s="53"/>
      <c r="I44" s="66"/>
      <c r="J44" s="66"/>
      <c r="K44" s="69"/>
      <c r="M44" s="16"/>
      <c r="N44" s="57"/>
      <c r="O44" s="16"/>
      <c r="P44" s="57"/>
      <c r="Q44" s="70"/>
      <c r="R44" s="70"/>
      <c r="S44" s="70"/>
    </row>
    <row r="45" spans="1:19" s="2" customFormat="1" ht="12.75" customHeight="1">
      <c r="A45" s="121" t="s">
        <v>30</v>
      </c>
      <c r="B45" s="324"/>
      <c r="C45" s="324">
        <v>40000</v>
      </c>
      <c r="D45" s="55"/>
      <c r="E45" s="49"/>
      <c r="F45" s="263"/>
      <c r="G45" s="26"/>
      <c r="H45" s="53"/>
      <c r="I45" s="66"/>
      <c r="J45" s="66"/>
      <c r="K45" s="69"/>
      <c r="M45" s="16"/>
      <c r="N45" s="57"/>
      <c r="O45" s="16"/>
      <c r="P45" s="57"/>
      <c r="Q45" s="70"/>
      <c r="R45" s="70"/>
      <c r="S45" s="70"/>
    </row>
    <row r="46" spans="1:19" s="2" customFormat="1" ht="12.75" customHeight="1">
      <c r="A46" s="121" t="s">
        <v>31</v>
      </c>
      <c r="B46" s="324"/>
      <c r="C46" s="324">
        <v>120000</v>
      </c>
      <c r="D46" s="55"/>
      <c r="E46" s="49"/>
      <c r="F46" s="263"/>
      <c r="G46" s="26"/>
      <c r="H46" s="53"/>
      <c r="I46" s="66"/>
      <c r="J46" s="66"/>
      <c r="K46" s="69"/>
      <c r="M46" s="16"/>
      <c r="N46" s="57"/>
      <c r="O46" s="16"/>
      <c r="P46" s="57"/>
      <c r="Q46" s="70"/>
      <c r="R46" s="70"/>
      <c r="S46" s="70"/>
    </row>
    <row r="47" spans="1:19" s="2" customFormat="1" ht="12.75" customHeight="1">
      <c r="A47" s="121" t="s">
        <v>32</v>
      </c>
      <c r="B47" s="324"/>
      <c r="C47" s="324">
        <v>60000</v>
      </c>
      <c r="D47" s="55"/>
      <c r="E47" s="49"/>
      <c r="F47" s="263"/>
      <c r="G47" s="26"/>
      <c r="H47" s="53"/>
      <c r="I47" s="66"/>
      <c r="J47" s="66"/>
      <c r="K47" s="69"/>
      <c r="M47" s="16"/>
      <c r="N47" s="57"/>
      <c r="O47" s="16"/>
      <c r="P47" s="57"/>
      <c r="Q47" s="70"/>
      <c r="R47" s="70"/>
      <c r="S47" s="70"/>
    </row>
    <row r="48" spans="1:19" s="2" customFormat="1" ht="12.75" customHeight="1">
      <c r="A48" s="121" t="s">
        <v>33</v>
      </c>
      <c r="B48" s="324"/>
      <c r="C48" s="324">
        <v>20000</v>
      </c>
      <c r="D48" s="55"/>
      <c r="E48" s="49"/>
      <c r="F48" s="263"/>
      <c r="G48" s="26"/>
      <c r="H48" s="53"/>
      <c r="I48" s="66"/>
      <c r="J48" s="66"/>
      <c r="K48" s="69"/>
      <c r="M48" s="16"/>
      <c r="N48" s="57"/>
      <c r="O48" s="16"/>
      <c r="P48" s="57"/>
      <c r="Q48" s="70"/>
      <c r="R48" s="70"/>
      <c r="S48" s="70"/>
    </row>
    <row r="49" spans="1:19" s="2" customFormat="1" ht="12.75" customHeight="1">
      <c r="A49" s="133" t="s">
        <v>52</v>
      </c>
      <c r="B49" s="324"/>
      <c r="C49" s="324">
        <v>15000</v>
      </c>
      <c r="D49" s="55"/>
      <c r="E49" s="49"/>
      <c r="F49" s="263"/>
      <c r="G49" s="26"/>
      <c r="H49" s="53"/>
      <c r="I49" s="66"/>
      <c r="J49" s="66"/>
      <c r="K49" s="69"/>
      <c r="M49" s="16"/>
      <c r="N49" s="57"/>
      <c r="O49" s="16"/>
      <c r="P49" s="57"/>
      <c r="Q49" s="70"/>
      <c r="R49" s="70"/>
      <c r="S49" s="70"/>
    </row>
    <row r="50" spans="1:19" s="2" customFormat="1" ht="12.75" customHeight="1">
      <c r="A50" s="121" t="s">
        <v>47</v>
      </c>
      <c r="B50" s="324"/>
      <c r="C50" s="324">
        <v>50000</v>
      </c>
      <c r="D50" s="55"/>
      <c r="E50" s="49"/>
      <c r="F50" s="263"/>
      <c r="G50" s="26"/>
      <c r="H50" s="53"/>
      <c r="I50" s="66"/>
      <c r="J50" s="66"/>
      <c r="K50" s="69"/>
      <c r="M50" s="16"/>
      <c r="N50" s="57"/>
      <c r="O50" s="16"/>
      <c r="P50" s="57"/>
      <c r="Q50" s="70"/>
      <c r="R50" s="70"/>
      <c r="S50" s="70"/>
    </row>
    <row r="51" spans="1:19" s="2" customFormat="1" ht="12.75" customHeight="1">
      <c r="A51" s="121" t="s">
        <v>48</v>
      </c>
      <c r="B51" s="324"/>
      <c r="C51" s="324">
        <v>30000</v>
      </c>
      <c r="D51" s="55"/>
      <c r="E51" s="49"/>
      <c r="F51" s="263"/>
      <c r="G51" s="26"/>
      <c r="H51" s="53"/>
      <c r="I51" s="66"/>
      <c r="J51" s="66"/>
      <c r="K51" s="69"/>
      <c r="M51" s="16"/>
      <c r="N51" s="57"/>
      <c r="O51" s="16"/>
      <c r="P51" s="57"/>
      <c r="Q51" s="70"/>
      <c r="R51" s="70"/>
      <c r="S51" s="70"/>
    </row>
    <row r="52" spans="1:19" s="2" customFormat="1" ht="12.75" customHeight="1">
      <c r="A52" s="121" t="s">
        <v>49</v>
      </c>
      <c r="B52" s="324"/>
      <c r="C52" s="324">
        <v>100000</v>
      </c>
      <c r="D52" s="55"/>
      <c r="E52" s="49"/>
      <c r="F52" s="266"/>
      <c r="G52" s="26"/>
      <c r="H52" s="53"/>
      <c r="I52" s="66"/>
      <c r="J52" s="66"/>
      <c r="K52" s="69"/>
      <c r="M52" s="16"/>
      <c r="N52" s="57"/>
      <c r="O52" s="16"/>
      <c r="P52" s="57"/>
      <c r="Q52" s="70"/>
      <c r="R52" s="70"/>
      <c r="S52" s="70"/>
    </row>
    <row r="53" spans="1:19" s="2" customFormat="1" ht="12.75" customHeight="1">
      <c r="A53" s="121" t="s">
        <v>43</v>
      </c>
      <c r="B53" s="324"/>
      <c r="C53" s="324">
        <v>400000</v>
      </c>
      <c r="D53" s="55"/>
      <c r="E53" s="49"/>
      <c r="F53" s="266"/>
      <c r="G53" s="26"/>
      <c r="H53" s="53"/>
      <c r="I53" s="66"/>
      <c r="J53" s="66"/>
      <c r="K53" s="69"/>
      <c r="M53" s="16"/>
      <c r="N53" s="57"/>
      <c r="O53" s="16"/>
      <c r="P53" s="57"/>
      <c r="Q53" s="70"/>
      <c r="R53" s="70"/>
      <c r="S53" s="70"/>
    </row>
    <row r="54" spans="1:19" s="2" customFormat="1" ht="12.75" customHeight="1">
      <c r="A54" s="121" t="s">
        <v>54</v>
      </c>
      <c r="B54" s="324"/>
      <c r="C54" s="324">
        <v>20000</v>
      </c>
      <c r="D54" s="55"/>
      <c r="E54" s="49"/>
      <c r="F54" s="263"/>
      <c r="G54" s="26"/>
      <c r="H54" s="53"/>
      <c r="I54" s="66"/>
      <c r="J54" s="66"/>
      <c r="K54" s="69"/>
      <c r="M54" s="16"/>
      <c r="N54" s="57"/>
      <c r="O54" s="16"/>
      <c r="P54" s="57"/>
      <c r="Q54" s="70"/>
      <c r="R54" s="70"/>
      <c r="S54" s="70"/>
    </row>
    <row r="55" spans="1:19" s="2" customFormat="1" ht="12.75" customHeight="1">
      <c r="A55" s="121" t="s">
        <v>92</v>
      </c>
      <c r="B55" s="324"/>
      <c r="C55" s="324">
        <v>20000</v>
      </c>
      <c r="D55" s="55"/>
      <c r="E55" s="49"/>
      <c r="F55" s="266"/>
      <c r="G55" s="26"/>
      <c r="H55" s="53"/>
      <c r="I55" s="66"/>
      <c r="J55" s="66"/>
      <c r="K55" s="69"/>
      <c r="M55" s="16"/>
      <c r="N55" s="57"/>
      <c r="O55" s="16"/>
      <c r="P55" s="57"/>
      <c r="Q55" s="70"/>
      <c r="R55" s="70"/>
      <c r="S55" s="70"/>
    </row>
    <row r="56" spans="1:19" s="2" customFormat="1" ht="12.75" customHeight="1">
      <c r="A56" s="121" t="s">
        <v>93</v>
      </c>
      <c r="B56" s="324"/>
      <c r="C56" s="324">
        <v>20000</v>
      </c>
      <c r="D56" s="55"/>
      <c r="E56" s="49"/>
      <c r="F56" s="263"/>
      <c r="G56" s="26"/>
      <c r="H56" s="53"/>
      <c r="I56" s="66"/>
      <c r="J56" s="66"/>
      <c r="K56" s="69"/>
      <c r="M56" s="16"/>
      <c r="N56" s="57"/>
      <c r="O56" s="16"/>
      <c r="P56" s="57"/>
      <c r="Q56" s="70"/>
      <c r="R56" s="70"/>
      <c r="S56" s="70"/>
    </row>
    <row r="57" spans="1:19" s="2" customFormat="1" ht="12.75" customHeight="1">
      <c r="A57" s="121" t="s">
        <v>70</v>
      </c>
      <c r="B57" s="324"/>
      <c r="C57" s="324">
        <v>50000</v>
      </c>
      <c r="D57" s="55"/>
      <c r="E57" s="49"/>
      <c r="F57" s="266"/>
      <c r="G57" s="26"/>
      <c r="H57" s="53"/>
      <c r="I57" s="66"/>
      <c r="J57" s="66"/>
      <c r="K57" s="69"/>
      <c r="M57" s="16"/>
      <c r="N57" s="57"/>
      <c r="O57" s="16"/>
      <c r="P57" s="57"/>
      <c r="Q57" s="70"/>
      <c r="R57" s="70"/>
      <c r="S57" s="70"/>
    </row>
    <row r="58" spans="1:19" s="2" customFormat="1" ht="12.75" customHeight="1">
      <c r="A58" s="121" t="s">
        <v>94</v>
      </c>
      <c r="B58" s="324"/>
      <c r="C58" s="324">
        <v>10000</v>
      </c>
      <c r="D58" s="55"/>
      <c r="E58" s="49"/>
      <c r="F58" s="266"/>
      <c r="G58" s="26"/>
      <c r="H58" s="53"/>
      <c r="I58" s="66"/>
      <c r="J58" s="66"/>
      <c r="K58" s="69"/>
      <c r="M58" s="16"/>
      <c r="N58" s="57"/>
      <c r="O58" s="16"/>
      <c r="P58" s="57"/>
      <c r="Q58" s="70"/>
      <c r="R58" s="70"/>
      <c r="S58" s="70"/>
    </row>
    <row r="59" spans="1:19" s="2" customFormat="1" ht="12.75" customHeight="1">
      <c r="A59" s="271" t="s">
        <v>84</v>
      </c>
      <c r="B59" s="322"/>
      <c r="C59" s="322">
        <v>20000</v>
      </c>
      <c r="D59" s="46"/>
      <c r="E59" s="42"/>
      <c r="F59" s="264"/>
      <c r="G59" s="26"/>
      <c r="H59" s="53"/>
      <c r="I59" s="66"/>
      <c r="J59" s="66"/>
      <c r="K59" s="69"/>
      <c r="M59" s="16"/>
      <c r="N59" s="57"/>
      <c r="O59" s="16"/>
      <c r="P59" s="57"/>
      <c r="Q59" s="70"/>
      <c r="R59" s="70"/>
      <c r="S59" s="70"/>
    </row>
    <row r="60" spans="1:19" s="2" customFormat="1" ht="12.75" customHeight="1">
      <c r="A60" s="270" t="s">
        <v>75</v>
      </c>
      <c r="B60" s="58"/>
      <c r="C60" s="58">
        <v>100000</v>
      </c>
      <c r="D60" s="168"/>
      <c r="E60" s="58"/>
      <c r="F60" s="262"/>
      <c r="G60" s="26"/>
      <c r="H60" s="53"/>
      <c r="I60" s="66"/>
      <c r="J60" s="66"/>
      <c r="K60" s="69"/>
      <c r="M60" s="16"/>
      <c r="N60" s="57"/>
      <c r="O60" s="16"/>
      <c r="P60" s="57"/>
      <c r="Q60" s="70"/>
      <c r="R60" s="70"/>
      <c r="S60" s="70"/>
    </row>
    <row r="61" spans="1:19" s="108" customFormat="1" ht="12.75" customHeight="1">
      <c r="A61" s="166" t="s">
        <v>53</v>
      </c>
      <c r="B61" s="46"/>
      <c r="C61" s="46">
        <v>68000</v>
      </c>
      <c r="D61" s="46"/>
      <c r="E61" s="46"/>
      <c r="F61" s="264"/>
      <c r="G61" s="26"/>
      <c r="H61" s="53"/>
      <c r="I61" s="84"/>
      <c r="J61" s="84"/>
      <c r="K61" s="70"/>
      <c r="L61" s="284"/>
      <c r="M61" s="16"/>
      <c r="N61" s="57"/>
      <c r="O61" s="16"/>
      <c r="P61" s="57"/>
      <c r="Q61" s="70"/>
      <c r="R61" s="70"/>
      <c r="S61" s="70"/>
    </row>
    <row r="62" spans="1:19" s="11" customFormat="1" ht="14.25" thickBot="1">
      <c r="A62" s="177" t="s">
        <v>13</v>
      </c>
      <c r="B62" s="59">
        <f>SUM(B38:B61)</f>
        <v>0</v>
      </c>
      <c r="C62" s="59">
        <f>SUM(C38:C61)</f>
        <v>13045395</v>
      </c>
      <c r="D62" s="59"/>
      <c r="E62" s="59"/>
      <c r="F62" s="265"/>
      <c r="G62" s="56"/>
      <c r="H62" s="56"/>
      <c r="I62" s="82"/>
      <c r="J62" s="82"/>
      <c r="K62" s="83"/>
      <c r="M62" s="134"/>
      <c r="N62" s="52"/>
      <c r="O62" s="16"/>
      <c r="P62" s="52"/>
      <c r="Q62" s="52"/>
      <c r="R62" s="52"/>
      <c r="S62" s="52"/>
    </row>
    <row r="63" spans="1:16" ht="14.25" thickBot="1">
      <c r="A63" s="67"/>
      <c r="B63" s="67"/>
      <c r="C63" s="67"/>
      <c r="D63" s="67"/>
      <c r="E63" s="63"/>
      <c r="M63" s="29"/>
      <c r="O63" s="28"/>
      <c r="P63" s="29"/>
    </row>
    <row r="64" spans="1:16" ht="15" thickBot="1" thickTop="1">
      <c r="A64" s="340" t="s">
        <v>167</v>
      </c>
      <c r="B64" s="341"/>
      <c r="C64" s="342"/>
      <c r="D64" s="343">
        <f>D62-D36</f>
        <v>0</v>
      </c>
      <c r="E64" s="63"/>
      <c r="M64" s="29"/>
      <c r="O64" s="28"/>
      <c r="P64" s="29"/>
    </row>
    <row r="65" spans="1:16" ht="18" thickBot="1" thickTop="1">
      <c r="A65" s="874" t="s">
        <v>14</v>
      </c>
      <c r="B65" s="874"/>
      <c r="C65" s="874"/>
      <c r="D65" s="874"/>
      <c r="E65" s="874"/>
      <c r="F65" s="874"/>
      <c r="G65" s="874"/>
      <c r="H65" s="874"/>
      <c r="M65" s="29"/>
      <c r="O65" s="29"/>
      <c r="P65" s="29"/>
    </row>
    <row r="66" spans="1:16" ht="15">
      <c r="A66" s="89" t="s">
        <v>0</v>
      </c>
      <c r="B66" s="290" t="s">
        <v>137</v>
      </c>
      <c r="C66" s="93" t="s">
        <v>23</v>
      </c>
      <c r="D66" s="93" t="s">
        <v>165</v>
      </c>
      <c r="E66" s="290"/>
      <c r="F66" s="73" t="s">
        <v>136</v>
      </c>
      <c r="G66" s="9"/>
      <c r="H66" s="36"/>
      <c r="O66" s="135"/>
      <c r="P66" s="29"/>
    </row>
    <row r="67" spans="1:21" ht="15.75" thickBot="1">
      <c r="A67" s="102"/>
      <c r="B67" s="182">
        <v>2015</v>
      </c>
      <c r="C67" s="94" t="s">
        <v>164</v>
      </c>
      <c r="D67" s="94" t="s">
        <v>166</v>
      </c>
      <c r="E67" s="291"/>
      <c r="F67" s="74"/>
      <c r="G67" s="9"/>
      <c r="H67" s="36"/>
      <c r="O67" s="29"/>
      <c r="P67" s="29"/>
      <c r="Q67" s="29"/>
      <c r="R67" s="29"/>
      <c r="S67" s="29"/>
      <c r="T67" s="29"/>
      <c r="U67" s="29"/>
    </row>
    <row r="68" spans="1:21" s="2" customFormat="1" ht="12.75" customHeight="1">
      <c r="A68" s="109" t="s">
        <v>71</v>
      </c>
      <c r="B68" s="96"/>
      <c r="C68" s="96">
        <v>169000</v>
      </c>
      <c r="D68" s="160"/>
      <c r="E68" s="47"/>
      <c r="F68" s="220"/>
      <c r="G68" s="4"/>
      <c r="H68" s="30"/>
      <c r="O68" s="70"/>
      <c r="P68" s="70"/>
      <c r="Q68" s="70"/>
      <c r="R68" s="70"/>
      <c r="S68" s="70"/>
      <c r="T68" s="70"/>
      <c r="U68" s="70"/>
    </row>
    <row r="69" spans="1:21" s="2" customFormat="1" ht="12.75" customHeight="1">
      <c r="A69" s="161" t="s">
        <v>36</v>
      </c>
      <c r="B69" s="96"/>
      <c r="C69" s="96"/>
      <c r="D69" s="125"/>
      <c r="E69" s="42"/>
      <c r="F69" s="293" t="s">
        <v>115</v>
      </c>
      <c r="G69" s="4"/>
      <c r="H69" s="30"/>
      <c r="L69" s="286"/>
      <c r="M69" s="245"/>
      <c r="N69" s="246"/>
      <c r="O69" s="70"/>
      <c r="P69" s="70"/>
      <c r="Q69" s="70"/>
      <c r="R69" s="70"/>
      <c r="S69" s="70"/>
      <c r="T69" s="70"/>
      <c r="U69" s="70"/>
    </row>
    <row r="70" spans="1:21" s="2" customFormat="1" ht="12.75" customHeight="1">
      <c r="A70" s="161" t="s">
        <v>37</v>
      </c>
      <c r="B70" s="96"/>
      <c r="C70" s="96"/>
      <c r="D70" s="126"/>
      <c r="E70" s="58"/>
      <c r="F70" s="241"/>
      <c r="G70" s="4"/>
      <c r="H70" s="30"/>
      <c r="L70" s="127"/>
      <c r="M70" s="127"/>
      <c r="O70" s="70"/>
      <c r="P70" s="70"/>
      <c r="Q70" s="70"/>
      <c r="R70" s="70"/>
      <c r="S70" s="70"/>
      <c r="T70" s="70"/>
      <c r="U70" s="70"/>
    </row>
    <row r="71" spans="1:21" s="2" customFormat="1" ht="12.75" customHeight="1">
      <c r="A71" s="103" t="s">
        <v>1</v>
      </c>
      <c r="B71" s="49"/>
      <c r="C71" s="49">
        <v>25000</v>
      </c>
      <c r="D71" s="49"/>
      <c r="E71" s="49"/>
      <c r="F71" s="226"/>
      <c r="G71" s="4"/>
      <c r="H71" s="30"/>
      <c r="O71" s="70"/>
      <c r="P71" s="70"/>
      <c r="Q71" s="70"/>
      <c r="R71" s="70"/>
      <c r="S71" s="70"/>
      <c r="T71" s="70"/>
      <c r="U71" s="70"/>
    </row>
    <row r="72" spans="1:21" s="2" customFormat="1" ht="12.75" customHeight="1">
      <c r="A72" s="103" t="s">
        <v>8</v>
      </c>
      <c r="B72" s="42"/>
      <c r="C72" s="42">
        <v>6000</v>
      </c>
      <c r="D72" s="42"/>
      <c r="E72" s="42"/>
      <c r="F72" s="222"/>
      <c r="G72" s="4"/>
      <c r="H72" s="26"/>
      <c r="O72" s="70"/>
      <c r="P72" s="70"/>
      <c r="Q72" s="70"/>
      <c r="R72" s="70"/>
      <c r="S72" s="70"/>
      <c r="T72" s="70"/>
      <c r="U72" s="70"/>
    </row>
    <row r="73" spans="1:21" s="2" customFormat="1" ht="12.75" customHeight="1">
      <c r="A73" s="103" t="s">
        <v>16</v>
      </c>
      <c r="B73" s="42"/>
      <c r="C73" s="42">
        <v>95000</v>
      </c>
      <c r="D73" s="42"/>
      <c r="E73" s="42"/>
      <c r="F73" s="222"/>
      <c r="G73" s="4"/>
      <c r="H73" s="30"/>
      <c r="L73" s="124"/>
      <c r="O73" s="70"/>
      <c r="P73" s="70"/>
      <c r="Q73" s="70"/>
      <c r="R73" s="70"/>
      <c r="S73" s="70"/>
      <c r="T73" s="70"/>
      <c r="U73" s="70"/>
    </row>
    <row r="74" spans="1:21" s="2" customFormat="1" ht="12.75" customHeight="1" thickBot="1">
      <c r="A74" s="97" t="s">
        <v>10</v>
      </c>
      <c r="B74" s="43"/>
      <c r="C74" s="43">
        <v>318000</v>
      </c>
      <c r="D74" s="43"/>
      <c r="E74" s="202"/>
      <c r="F74" s="294" t="s">
        <v>150</v>
      </c>
      <c r="G74" s="4"/>
      <c r="H74" s="30"/>
      <c r="N74" s="70"/>
      <c r="O74" s="70"/>
      <c r="Q74" s="70"/>
      <c r="R74" s="70"/>
      <c r="S74" s="70"/>
      <c r="T74" s="70"/>
      <c r="U74" s="70"/>
    </row>
    <row r="75" spans="1:21" s="11" customFormat="1" ht="14.25" thickBot="1">
      <c r="A75" s="34" t="s">
        <v>2</v>
      </c>
      <c r="B75" s="138">
        <f>SUM(B68:B74)</f>
        <v>0</v>
      </c>
      <c r="C75" s="138">
        <f>SUM(C68:C74)</f>
        <v>613000</v>
      </c>
      <c r="D75" s="59">
        <f>SUM(D68:D74)</f>
        <v>0</v>
      </c>
      <c r="E75" s="59">
        <f>SUM(E68:E74)</f>
        <v>0</v>
      </c>
      <c r="F75" s="225"/>
      <c r="G75" s="56"/>
      <c r="H75" s="35"/>
      <c r="N75" s="16"/>
      <c r="O75" s="52"/>
      <c r="Q75" s="52"/>
      <c r="R75" s="52"/>
      <c r="S75" s="52"/>
      <c r="T75" s="52"/>
      <c r="U75" s="52"/>
    </row>
    <row r="76" spans="1:21" ht="15.75" thickBot="1">
      <c r="A76" s="3"/>
      <c r="B76" s="17"/>
      <c r="C76" s="17"/>
      <c r="D76" s="22"/>
      <c r="E76" s="22"/>
      <c r="F76" s="15"/>
      <c r="G76" s="15"/>
      <c r="H76" s="18"/>
      <c r="N76" s="16"/>
      <c r="O76" s="29"/>
      <c r="Q76" s="29"/>
      <c r="R76" s="29"/>
      <c r="S76" s="29"/>
      <c r="T76" s="29"/>
      <c r="U76" s="29"/>
    </row>
    <row r="77" spans="1:21" ht="16.5" thickBot="1">
      <c r="A77" s="295" t="s">
        <v>3</v>
      </c>
      <c r="B77" s="17"/>
      <c r="C77" s="17"/>
      <c r="D77" s="22"/>
      <c r="E77" s="22"/>
      <c r="F77" s="32"/>
      <c r="G77" s="32"/>
      <c r="H77" s="18"/>
      <c r="N77" s="16"/>
      <c r="O77" s="29"/>
      <c r="Q77" s="29"/>
      <c r="R77" s="29"/>
      <c r="S77" s="29"/>
      <c r="T77" s="29"/>
      <c r="U77" s="29"/>
    </row>
    <row r="78" spans="1:21" ht="12.75" customHeight="1">
      <c r="A78" s="296" t="s">
        <v>11</v>
      </c>
      <c r="B78" s="87"/>
      <c r="C78" s="87">
        <v>21000</v>
      </c>
      <c r="D78" s="47"/>
      <c r="E78" s="201"/>
      <c r="F78" s="300" t="s">
        <v>111</v>
      </c>
      <c r="G78" s="30"/>
      <c r="H78" s="30"/>
      <c r="L78" s="124"/>
      <c r="M78" s="124"/>
      <c r="N78" s="285"/>
      <c r="O78" s="278"/>
      <c r="P78" s="124"/>
      <c r="Q78" s="278"/>
      <c r="R78" s="278"/>
      <c r="S78" s="278"/>
      <c r="T78" s="278"/>
      <c r="U78" s="29"/>
    </row>
    <row r="79" spans="1:21" ht="14.25" thickBot="1">
      <c r="A79" s="297" t="s">
        <v>4</v>
      </c>
      <c r="B79" s="298"/>
      <c r="C79" s="298">
        <v>592000</v>
      </c>
      <c r="D79" s="50"/>
      <c r="E79" s="50"/>
      <c r="F79" s="338" t="s">
        <v>151</v>
      </c>
      <c r="G79" s="54"/>
      <c r="H79" s="72"/>
      <c r="L79" s="124"/>
      <c r="M79" s="124"/>
      <c r="N79" s="277"/>
      <c r="O79" s="278"/>
      <c r="Q79" s="29"/>
      <c r="R79" s="29"/>
      <c r="S79" s="29"/>
      <c r="T79" s="29"/>
      <c r="U79" s="29"/>
    </row>
    <row r="80" spans="1:21" s="11" customFormat="1" ht="14.25" thickBot="1">
      <c r="A80" s="34" t="s">
        <v>5</v>
      </c>
      <c r="B80" s="138">
        <f>SUM(B78:B79)</f>
        <v>0</v>
      </c>
      <c r="C80" s="138">
        <f>SUM(C78:C79)</f>
        <v>613000</v>
      </c>
      <c r="D80" s="59">
        <v>0</v>
      </c>
      <c r="E80" s="59">
        <v>0</v>
      </c>
      <c r="F80" s="265"/>
      <c r="G80" s="35"/>
      <c r="H80" s="56"/>
      <c r="N80" s="16"/>
      <c r="O80" s="52"/>
      <c r="Q80" s="52"/>
      <c r="R80" s="52"/>
      <c r="S80" s="52"/>
      <c r="T80" s="52"/>
      <c r="U80" s="52"/>
    </row>
    <row r="81" spans="1:21" s="11" customFormat="1" ht="14.25" thickBot="1">
      <c r="A81" s="327"/>
      <c r="B81" s="16"/>
      <c r="C81" s="16"/>
      <c r="D81" s="5"/>
      <c r="E81" s="5"/>
      <c r="F81" s="33"/>
      <c r="G81" s="35"/>
      <c r="H81" s="56"/>
      <c r="N81" s="16"/>
      <c r="O81" s="52"/>
      <c r="Q81" s="52"/>
      <c r="R81" s="52"/>
      <c r="S81" s="52"/>
      <c r="T81" s="52"/>
      <c r="U81" s="52"/>
    </row>
    <row r="82" spans="1:21" s="11" customFormat="1" ht="15" thickBot="1" thickTop="1">
      <c r="A82" s="340" t="s">
        <v>168</v>
      </c>
      <c r="B82" s="341"/>
      <c r="C82" s="342"/>
      <c r="D82" s="343">
        <f>D80-D75</f>
        <v>0</v>
      </c>
      <c r="E82" s="5"/>
      <c r="F82" s="33"/>
      <c r="G82" s="35"/>
      <c r="H82" s="56"/>
      <c r="N82" s="16"/>
      <c r="O82" s="52"/>
      <c r="Q82" s="52"/>
      <c r="R82" s="52"/>
      <c r="S82" s="52"/>
      <c r="T82" s="52"/>
      <c r="U82" s="52"/>
    </row>
    <row r="83" spans="1:21" ht="14.25" thickTop="1">
      <c r="A83" s="20"/>
      <c r="E83" s="22"/>
      <c r="N83" s="16"/>
      <c r="O83" s="29"/>
      <c r="Q83" s="29"/>
      <c r="R83" s="29"/>
      <c r="S83" s="29"/>
      <c r="T83" s="29"/>
      <c r="U83" s="29"/>
    </row>
    <row r="84" spans="1:21" ht="18" thickBot="1">
      <c r="A84" s="875" t="s">
        <v>15</v>
      </c>
      <c r="B84" s="875"/>
      <c r="C84" s="875"/>
      <c r="D84" s="875"/>
      <c r="E84" s="875"/>
      <c r="F84" s="875"/>
      <c r="G84" s="875"/>
      <c r="H84" s="875"/>
      <c r="I84" s="875"/>
      <c r="J84" s="875"/>
      <c r="K84" s="875"/>
      <c r="N84" s="16"/>
      <c r="O84" s="29"/>
      <c r="Q84" s="29"/>
      <c r="R84" s="29"/>
      <c r="S84" s="29"/>
      <c r="T84" s="29"/>
      <c r="U84" s="29"/>
    </row>
    <row r="85" spans="1:21" ht="15">
      <c r="A85" s="89" t="s">
        <v>0</v>
      </c>
      <c r="B85" s="290" t="s">
        <v>137</v>
      </c>
      <c r="C85" s="93" t="s">
        <v>23</v>
      </c>
      <c r="D85" s="93" t="s">
        <v>165</v>
      </c>
      <c r="E85" s="290"/>
      <c r="F85" s="73" t="s">
        <v>136</v>
      </c>
      <c r="G85" s="9"/>
      <c r="H85" s="36"/>
      <c r="I85" s="1"/>
      <c r="J85" s="1"/>
      <c r="K85" s="41"/>
      <c r="N85" s="16"/>
      <c r="O85" s="29"/>
      <c r="Q85" s="29"/>
      <c r="R85" s="29"/>
      <c r="S85" s="29"/>
      <c r="T85" s="29"/>
      <c r="U85" s="29"/>
    </row>
    <row r="86" spans="1:21" ht="15.75" thickBot="1">
      <c r="A86" s="102"/>
      <c r="B86" s="182">
        <v>2015</v>
      </c>
      <c r="C86" s="94" t="s">
        <v>164</v>
      </c>
      <c r="D86" s="94" t="s">
        <v>166</v>
      </c>
      <c r="E86" s="291"/>
      <c r="F86" s="74"/>
      <c r="G86" s="9"/>
      <c r="H86" s="36"/>
      <c r="I86" s="1"/>
      <c r="J86" s="1"/>
      <c r="K86" s="41"/>
      <c r="N86" s="16"/>
      <c r="O86" s="29"/>
      <c r="Q86" s="29"/>
      <c r="R86" s="29"/>
      <c r="S86" s="29"/>
      <c r="T86" s="29"/>
      <c r="U86" s="29"/>
    </row>
    <row r="87" spans="1:21" ht="13.5">
      <c r="A87" s="110" t="s">
        <v>72</v>
      </c>
      <c r="B87" s="306"/>
      <c r="C87" s="306">
        <v>115000</v>
      </c>
      <c r="D87" s="171"/>
      <c r="E87" s="47"/>
      <c r="F87" s="228"/>
      <c r="G87" s="4"/>
      <c r="H87" s="4"/>
      <c r="I87" s="31"/>
      <c r="J87" s="31"/>
      <c r="K87" s="10"/>
      <c r="N87" s="16"/>
      <c r="O87" s="29"/>
      <c r="Q87" s="29"/>
      <c r="R87" s="29"/>
      <c r="S87" s="29"/>
      <c r="T87" s="29"/>
      <c r="U87" s="29"/>
    </row>
    <row r="88" spans="1:21" ht="13.5">
      <c r="A88" s="162" t="s">
        <v>55</v>
      </c>
      <c r="B88" s="78"/>
      <c r="C88" s="78"/>
      <c r="D88" s="128"/>
      <c r="E88" s="42"/>
      <c r="F88" s="229"/>
      <c r="G88" s="4"/>
      <c r="H88" s="4"/>
      <c r="I88" s="31"/>
      <c r="J88" s="31"/>
      <c r="K88" s="10"/>
      <c r="N88" s="16"/>
      <c r="O88" s="29"/>
      <c r="Q88" s="29"/>
      <c r="R88" s="29"/>
      <c r="S88" s="29"/>
      <c r="T88" s="29"/>
      <c r="U88" s="29"/>
    </row>
    <row r="89" spans="1:21" ht="13.5">
      <c r="A89" s="162" t="s">
        <v>56</v>
      </c>
      <c r="B89" s="78"/>
      <c r="C89" s="78"/>
      <c r="D89" s="140"/>
      <c r="E89" s="58"/>
      <c r="F89" s="230"/>
      <c r="G89" s="4"/>
      <c r="H89" s="4"/>
      <c r="I89" s="31"/>
      <c r="J89" s="31"/>
      <c r="K89" s="10"/>
      <c r="N89" s="16"/>
      <c r="O89" s="29"/>
      <c r="Q89" s="29"/>
      <c r="R89" s="29"/>
      <c r="S89" s="29"/>
      <c r="T89" s="29"/>
      <c r="U89" s="29"/>
    </row>
    <row r="90" spans="1:21" ht="13.5">
      <c r="A90" s="104" t="s">
        <v>1</v>
      </c>
      <c r="B90" s="49"/>
      <c r="C90" s="49">
        <v>25000</v>
      </c>
      <c r="D90" s="60"/>
      <c r="E90" s="49"/>
      <c r="F90" s="307" t="s">
        <v>112</v>
      </c>
      <c r="G90" s="4"/>
      <c r="H90" s="4"/>
      <c r="I90" s="31"/>
      <c r="J90" s="31"/>
      <c r="K90" s="10"/>
      <c r="L90" s="124"/>
      <c r="N90" s="16"/>
      <c r="O90" s="29"/>
      <c r="Q90" s="29"/>
      <c r="R90" s="29"/>
      <c r="S90" s="29"/>
      <c r="T90" s="29"/>
      <c r="U90" s="29"/>
    </row>
    <row r="91" spans="1:21" ht="13.5">
      <c r="A91" s="104" t="s">
        <v>8</v>
      </c>
      <c r="B91" s="42"/>
      <c r="C91" s="42">
        <v>36000</v>
      </c>
      <c r="D91" s="105"/>
      <c r="E91" s="42"/>
      <c r="F91" s="329" t="s">
        <v>138</v>
      </c>
      <c r="G91" s="4"/>
      <c r="H91" s="4"/>
      <c r="I91" s="31"/>
      <c r="J91" s="31"/>
      <c r="K91" s="10"/>
      <c r="L91" s="286"/>
      <c r="N91" s="16"/>
      <c r="O91" s="29"/>
      <c r="Q91" s="29"/>
      <c r="R91" s="29"/>
      <c r="S91" s="29"/>
      <c r="T91" s="29"/>
      <c r="U91" s="29"/>
    </row>
    <row r="92" spans="1:21" ht="13.5">
      <c r="A92" s="104" t="s">
        <v>16</v>
      </c>
      <c r="B92" s="48"/>
      <c r="C92" s="48">
        <v>311000</v>
      </c>
      <c r="D92" s="42"/>
      <c r="E92" s="48"/>
      <c r="F92" s="232"/>
      <c r="G92" s="4"/>
      <c r="H92" s="4"/>
      <c r="I92" s="31"/>
      <c r="J92" s="31"/>
      <c r="K92" s="10"/>
      <c r="N92" s="16"/>
      <c r="O92" s="29"/>
      <c r="Q92" s="29"/>
      <c r="R92" s="29"/>
      <c r="S92" s="29"/>
      <c r="T92" s="29"/>
      <c r="U92" s="29"/>
    </row>
    <row r="93" spans="1:21" ht="12.75">
      <c r="A93" s="139" t="s">
        <v>9</v>
      </c>
      <c r="B93" s="48"/>
      <c r="C93" s="48">
        <v>1000</v>
      </c>
      <c r="D93" s="42"/>
      <c r="E93" s="48"/>
      <c r="F93" s="328" t="s">
        <v>140</v>
      </c>
      <c r="G93" s="4"/>
      <c r="H93" s="4"/>
      <c r="I93" s="31"/>
      <c r="J93" s="31"/>
      <c r="K93" s="10"/>
      <c r="L93" s="124"/>
      <c r="M93" s="124"/>
      <c r="N93" s="285"/>
      <c r="O93" s="278"/>
      <c r="P93" s="124"/>
      <c r="Q93" s="29"/>
      <c r="R93" s="29"/>
      <c r="S93" s="29"/>
      <c r="T93" s="29"/>
      <c r="U93" s="29"/>
    </row>
    <row r="94" spans="1:21" ht="13.5">
      <c r="A94" s="139" t="s">
        <v>57</v>
      </c>
      <c r="B94" s="42"/>
      <c r="C94" s="42">
        <v>2500</v>
      </c>
      <c r="D94" s="125"/>
      <c r="E94" s="42"/>
      <c r="F94" s="233"/>
      <c r="G94" s="4"/>
      <c r="H94" s="4"/>
      <c r="I94" s="31"/>
      <c r="J94" s="31"/>
      <c r="K94" s="10"/>
      <c r="N94" s="16"/>
      <c r="O94" s="29"/>
      <c r="Q94" s="29"/>
      <c r="R94" s="29"/>
      <c r="S94" s="29"/>
      <c r="T94" s="29"/>
      <c r="U94" s="29"/>
    </row>
    <row r="95" spans="1:21" ht="13.5">
      <c r="A95" s="139" t="s">
        <v>59</v>
      </c>
      <c r="B95" s="42"/>
      <c r="C95" s="42">
        <v>25000</v>
      </c>
      <c r="D95" s="125"/>
      <c r="E95" s="42"/>
      <c r="F95" s="234"/>
      <c r="G95" s="4"/>
      <c r="H95" s="4"/>
      <c r="I95" s="31"/>
      <c r="J95" s="31"/>
      <c r="K95" s="10"/>
      <c r="N95" s="16"/>
      <c r="O95" s="29"/>
      <c r="Q95" s="29"/>
      <c r="R95" s="29"/>
      <c r="S95" s="29"/>
      <c r="T95" s="29"/>
      <c r="U95" s="29"/>
    </row>
    <row r="96" spans="1:21" ht="13.5">
      <c r="A96" s="139" t="s">
        <v>85</v>
      </c>
      <c r="B96" s="42"/>
      <c r="C96" s="42">
        <v>15000</v>
      </c>
      <c r="D96" s="125"/>
      <c r="E96" s="42"/>
      <c r="F96" s="302" t="s">
        <v>110</v>
      </c>
      <c r="G96" s="4"/>
      <c r="H96" s="4"/>
      <c r="I96" s="31"/>
      <c r="J96" s="31"/>
      <c r="K96" s="10"/>
      <c r="L96" s="124"/>
      <c r="N96" s="16"/>
      <c r="O96" s="29"/>
      <c r="Q96" s="29"/>
      <c r="R96" s="29"/>
      <c r="S96" s="29"/>
      <c r="T96" s="29"/>
      <c r="U96" s="29"/>
    </row>
    <row r="97" spans="1:21" ht="13.5">
      <c r="A97" s="139" t="s">
        <v>86</v>
      </c>
      <c r="B97" s="42"/>
      <c r="C97" s="42">
        <v>80000</v>
      </c>
      <c r="D97" s="125"/>
      <c r="E97" s="42"/>
      <c r="F97" s="308" t="s">
        <v>110</v>
      </c>
      <c r="G97" s="4"/>
      <c r="H97" s="4"/>
      <c r="I97" s="31"/>
      <c r="J97" s="31"/>
      <c r="K97" s="10"/>
      <c r="L97" s="124"/>
      <c r="M97" s="124"/>
      <c r="N97" s="16"/>
      <c r="O97" s="29"/>
      <c r="Q97" s="29"/>
      <c r="R97" s="29"/>
      <c r="S97" s="29"/>
      <c r="T97" s="29"/>
      <c r="U97" s="29"/>
    </row>
    <row r="98" spans="1:21" ht="13.5">
      <c r="A98" s="139" t="s">
        <v>58</v>
      </c>
      <c r="B98" s="48"/>
      <c r="C98" s="48">
        <v>20000</v>
      </c>
      <c r="D98" s="280"/>
      <c r="E98" s="48"/>
      <c r="F98" s="237"/>
      <c r="G98" s="4"/>
      <c r="H98" s="4"/>
      <c r="I98" s="31"/>
      <c r="J98" s="31"/>
      <c r="K98" s="10"/>
      <c r="L98" s="124"/>
      <c r="M98" s="124"/>
      <c r="N98" s="16"/>
      <c r="O98" s="29"/>
      <c r="Q98" s="29"/>
      <c r="R98" s="29"/>
      <c r="S98" s="29"/>
      <c r="T98" s="29"/>
      <c r="U98" s="29"/>
    </row>
    <row r="99" spans="1:21" ht="13.5">
      <c r="A99" s="91" t="s">
        <v>102</v>
      </c>
      <c r="B99" s="58"/>
      <c r="C99" s="58">
        <v>30000</v>
      </c>
      <c r="D99" s="140"/>
      <c r="E99" s="58"/>
      <c r="F99" s="302" t="s">
        <v>110</v>
      </c>
      <c r="G99" s="4"/>
      <c r="H99" s="4"/>
      <c r="I99" s="31"/>
      <c r="J99" s="31"/>
      <c r="K99" s="10"/>
      <c r="L99" s="124"/>
      <c r="M99" s="124"/>
      <c r="N99" s="16"/>
      <c r="O99" s="29"/>
      <c r="Q99" s="29"/>
      <c r="R99" s="29"/>
      <c r="S99" s="29"/>
      <c r="T99" s="29"/>
      <c r="U99" s="29"/>
    </row>
    <row r="100" spans="1:21" ht="14.25" thickBot="1">
      <c r="A100" s="99" t="s">
        <v>10</v>
      </c>
      <c r="B100" s="43"/>
      <c r="C100" s="43">
        <v>749250</v>
      </c>
      <c r="D100" s="43"/>
      <c r="E100" s="43"/>
      <c r="F100" s="305" t="s">
        <v>150</v>
      </c>
      <c r="G100" s="4"/>
      <c r="H100" s="4"/>
      <c r="I100" s="31"/>
      <c r="J100" s="31"/>
      <c r="K100" s="10"/>
      <c r="L100" s="203"/>
      <c r="M100" s="203"/>
      <c r="N100" s="165"/>
      <c r="O100" s="204"/>
      <c r="Q100" s="29"/>
      <c r="R100" s="29"/>
      <c r="S100" s="29"/>
      <c r="T100" s="29"/>
      <c r="U100" s="29"/>
    </row>
    <row r="101" spans="1:21" s="11" customFormat="1" ht="14.25" thickBot="1">
      <c r="A101" s="71" t="s">
        <v>2</v>
      </c>
      <c r="B101" s="77">
        <f>SUM(B87:B100)</f>
        <v>0</v>
      </c>
      <c r="C101" s="77">
        <f>SUM(C87:C100)</f>
        <v>1409750</v>
      </c>
      <c r="D101" s="59">
        <f>SUM(D87:D100)</f>
        <v>0</v>
      </c>
      <c r="E101" s="59">
        <f>SUM(E87:E100)</f>
        <v>0</v>
      </c>
      <c r="F101" s="236"/>
      <c r="G101" s="5"/>
      <c r="H101" s="85"/>
      <c r="I101" s="51"/>
      <c r="J101" s="51"/>
      <c r="K101" s="83"/>
      <c r="N101" s="28"/>
      <c r="O101" s="52"/>
      <c r="Q101" s="52"/>
      <c r="R101" s="52"/>
      <c r="S101" s="52"/>
      <c r="T101" s="52"/>
      <c r="U101" s="52"/>
    </row>
    <row r="102" spans="1:21" ht="15.75" thickBot="1">
      <c r="A102" s="21"/>
      <c r="B102" s="23"/>
      <c r="C102" s="23"/>
      <c r="D102" s="22"/>
      <c r="E102" s="22"/>
      <c r="F102" s="7"/>
      <c r="G102" s="31"/>
      <c r="H102" s="31"/>
      <c r="I102" s="31"/>
      <c r="J102" s="31"/>
      <c r="K102" s="10"/>
      <c r="N102" s="29"/>
      <c r="O102" s="29"/>
      <c r="Q102" s="29"/>
      <c r="R102" s="29"/>
      <c r="S102" s="29"/>
      <c r="T102" s="29"/>
      <c r="U102" s="29"/>
    </row>
    <row r="103" spans="1:21" ht="15.75" thickBot="1">
      <c r="A103" s="24" t="s">
        <v>3</v>
      </c>
      <c r="B103" s="23"/>
      <c r="C103" s="23"/>
      <c r="D103" s="22"/>
      <c r="E103" s="22"/>
      <c r="F103" s="7"/>
      <c r="G103" s="31"/>
      <c r="H103" s="31"/>
      <c r="I103" s="31"/>
      <c r="J103" s="31"/>
      <c r="K103" s="10"/>
      <c r="N103" s="135"/>
      <c r="O103" s="29"/>
      <c r="Q103" s="29"/>
      <c r="R103" s="29"/>
      <c r="S103" s="29"/>
      <c r="T103" s="29"/>
      <c r="U103" s="29"/>
    </row>
    <row r="104" spans="1:21" ht="12.75">
      <c r="A104" s="157" t="s">
        <v>11</v>
      </c>
      <c r="B104" s="47"/>
      <c r="C104" s="47">
        <v>265000</v>
      </c>
      <c r="D104" s="47"/>
      <c r="E104" s="201"/>
      <c r="F104" s="309" t="s">
        <v>159</v>
      </c>
      <c r="G104" s="4"/>
      <c r="H104" s="4"/>
      <c r="I104" s="31"/>
      <c r="J104" s="31"/>
      <c r="K104" s="10"/>
      <c r="L104" s="124"/>
      <c r="M104" s="124"/>
      <c r="N104" s="278"/>
      <c r="O104" s="278"/>
      <c r="P104" s="124"/>
      <c r="Q104" s="29"/>
      <c r="R104" s="29"/>
      <c r="S104" s="29"/>
      <c r="T104" s="29"/>
      <c r="U104" s="29"/>
    </row>
    <row r="105" spans="1:21" ht="12.75">
      <c r="A105" s="326" t="s">
        <v>4</v>
      </c>
      <c r="B105" s="320"/>
      <c r="C105" s="320">
        <f>922000+49250+1000</f>
        <v>972250</v>
      </c>
      <c r="D105" s="48"/>
      <c r="E105" s="48"/>
      <c r="F105" s="287"/>
      <c r="G105" s="4"/>
      <c r="H105" s="4"/>
      <c r="I105" s="31"/>
      <c r="J105" s="31"/>
      <c r="K105" s="10"/>
      <c r="L105" s="124"/>
      <c r="M105" s="124"/>
      <c r="N105" s="278"/>
      <c r="O105" s="278"/>
      <c r="P105" s="124"/>
      <c r="Q105" s="29"/>
      <c r="R105" s="29"/>
      <c r="S105" s="29"/>
      <c r="T105" s="29"/>
      <c r="U105" s="29"/>
    </row>
    <row r="106" spans="1:21" ht="12.75">
      <c r="A106" s="249" t="s">
        <v>60</v>
      </c>
      <c r="B106" s="322"/>
      <c r="C106" s="322">
        <v>2500</v>
      </c>
      <c r="D106" s="42"/>
      <c r="E106" s="42"/>
      <c r="F106" s="229"/>
      <c r="G106" s="4"/>
      <c r="H106" s="4"/>
      <c r="I106" s="31"/>
      <c r="J106" s="31"/>
      <c r="K106" s="10"/>
      <c r="L106" s="124"/>
      <c r="M106" s="124"/>
      <c r="N106" s="278"/>
      <c r="O106" s="278"/>
      <c r="P106" s="124"/>
      <c r="Q106" s="29"/>
      <c r="R106" s="29"/>
      <c r="S106" s="29"/>
      <c r="T106" s="29"/>
      <c r="U106" s="29"/>
    </row>
    <row r="107" spans="1:21" ht="12.75">
      <c r="A107" s="249" t="s">
        <v>88</v>
      </c>
      <c r="B107" s="322"/>
      <c r="C107" s="322">
        <v>15000</v>
      </c>
      <c r="D107" s="42"/>
      <c r="E107" s="42"/>
      <c r="F107" s="302" t="s">
        <v>110</v>
      </c>
      <c r="G107" s="4"/>
      <c r="H107" s="4"/>
      <c r="I107" s="31"/>
      <c r="J107" s="31"/>
      <c r="K107" s="10"/>
      <c r="L107" s="124"/>
      <c r="M107" s="124"/>
      <c r="N107" s="278"/>
      <c r="O107" s="278"/>
      <c r="P107" s="124"/>
      <c r="Q107" s="29"/>
      <c r="R107" s="29"/>
      <c r="S107" s="29"/>
      <c r="T107" s="29"/>
      <c r="U107" s="29"/>
    </row>
    <row r="108" spans="1:21" ht="12.75">
      <c r="A108" s="148" t="s">
        <v>51</v>
      </c>
      <c r="B108" s="322"/>
      <c r="C108" s="322">
        <v>20000</v>
      </c>
      <c r="D108" s="42"/>
      <c r="E108" s="42"/>
      <c r="F108" s="229"/>
      <c r="G108" s="4"/>
      <c r="H108" s="4"/>
      <c r="I108" s="31"/>
      <c r="J108" s="31"/>
      <c r="K108" s="10"/>
      <c r="L108" s="124"/>
      <c r="M108" s="124"/>
      <c r="N108" s="278"/>
      <c r="O108" s="278"/>
      <c r="P108" s="124"/>
      <c r="Q108" s="29"/>
      <c r="R108" s="29"/>
      <c r="S108" s="29"/>
      <c r="T108" s="29"/>
      <c r="U108" s="29"/>
    </row>
    <row r="109" spans="1:21" ht="12.75">
      <c r="A109" s="148" t="s">
        <v>61</v>
      </c>
      <c r="B109" s="323"/>
      <c r="C109" s="323">
        <v>25000</v>
      </c>
      <c r="D109" s="48"/>
      <c r="E109" s="48"/>
      <c r="F109" s="237"/>
      <c r="G109" s="4"/>
      <c r="H109" s="4"/>
      <c r="I109" s="31"/>
      <c r="J109" s="31"/>
      <c r="K109" s="10"/>
      <c r="L109" s="124"/>
      <c r="M109" s="124"/>
      <c r="N109" s="278"/>
      <c r="O109" s="278"/>
      <c r="P109" s="124"/>
      <c r="Q109" s="29"/>
      <c r="R109" s="29"/>
      <c r="S109" s="29"/>
      <c r="T109" s="29"/>
      <c r="U109" s="29"/>
    </row>
    <row r="110" spans="1:21" ht="12.75">
      <c r="A110" s="282" t="s">
        <v>103</v>
      </c>
      <c r="B110" s="323"/>
      <c r="C110" s="323">
        <v>30000</v>
      </c>
      <c r="D110" s="48"/>
      <c r="E110" s="48"/>
      <c r="F110" s="308" t="s">
        <v>110</v>
      </c>
      <c r="G110" s="4"/>
      <c r="H110" s="4"/>
      <c r="I110" s="31"/>
      <c r="J110" s="31"/>
      <c r="K110" s="10"/>
      <c r="L110" s="124"/>
      <c r="M110" s="124"/>
      <c r="N110" s="278"/>
      <c r="O110" s="278"/>
      <c r="P110" s="124"/>
      <c r="Q110" s="29"/>
      <c r="R110" s="29"/>
      <c r="S110" s="29"/>
      <c r="T110" s="29"/>
      <c r="U110" s="29"/>
    </row>
    <row r="111" spans="1:21" ht="13.5" thickBot="1">
      <c r="A111" s="283" t="s">
        <v>87</v>
      </c>
      <c r="B111" s="325"/>
      <c r="C111" s="325">
        <v>80000</v>
      </c>
      <c r="D111" s="310"/>
      <c r="E111" s="43"/>
      <c r="F111" s="299" t="s">
        <v>110</v>
      </c>
      <c r="G111" s="4"/>
      <c r="H111" s="4"/>
      <c r="I111" s="31"/>
      <c r="J111" s="31"/>
      <c r="K111" s="10"/>
      <c r="L111" s="124"/>
      <c r="M111" s="124"/>
      <c r="N111" s="124"/>
      <c r="O111" s="124"/>
      <c r="P111" s="124"/>
      <c r="Q111" s="29"/>
      <c r="R111" s="29"/>
      <c r="S111" s="29"/>
      <c r="T111" s="29"/>
      <c r="U111" s="29"/>
    </row>
    <row r="112" spans="1:21" s="11" customFormat="1" ht="14.25" thickBot="1">
      <c r="A112" s="174" t="s">
        <v>5</v>
      </c>
      <c r="B112" s="173">
        <f>SUM(B104:B111)</f>
        <v>0</v>
      </c>
      <c r="C112" s="173">
        <f>SUM(C104:C111)</f>
        <v>1409750</v>
      </c>
      <c r="D112" s="44">
        <f>SUM(D104:D111)</f>
        <v>0</v>
      </c>
      <c r="E112" s="44">
        <f>SUM(E104:E111)</f>
        <v>0</v>
      </c>
      <c r="F112" s="239"/>
      <c r="G112" s="51"/>
      <c r="H112" s="85"/>
      <c r="I112" s="51"/>
      <c r="J112" s="51"/>
      <c r="K112" s="83"/>
      <c r="Q112" s="52"/>
      <c r="R112" s="52"/>
      <c r="S112" s="52"/>
      <c r="T112" s="52"/>
      <c r="U112" s="52"/>
    </row>
    <row r="113" spans="1:21" s="11" customFormat="1" ht="14.25" thickBot="1">
      <c r="A113" s="137"/>
      <c r="B113" s="51"/>
      <c r="C113" s="51"/>
      <c r="D113" s="5"/>
      <c r="E113" s="5"/>
      <c r="F113" s="85"/>
      <c r="G113" s="51"/>
      <c r="H113" s="85"/>
      <c r="I113" s="51"/>
      <c r="J113" s="51"/>
      <c r="K113" s="83"/>
      <c r="Q113" s="52"/>
      <c r="R113" s="52"/>
      <c r="S113" s="52"/>
      <c r="T113" s="52"/>
      <c r="U113" s="52"/>
    </row>
    <row r="114" spans="1:21" s="11" customFormat="1" ht="15" thickBot="1" thickTop="1">
      <c r="A114" s="340" t="s">
        <v>169</v>
      </c>
      <c r="B114" s="341"/>
      <c r="C114" s="342"/>
      <c r="D114" s="343">
        <f>D112-D102</f>
        <v>0</v>
      </c>
      <c r="E114" s="5"/>
      <c r="F114" s="85"/>
      <c r="G114" s="51"/>
      <c r="H114" s="85"/>
      <c r="I114" s="51"/>
      <c r="J114" s="51"/>
      <c r="K114" s="83"/>
      <c r="Q114" s="52"/>
      <c r="R114" s="52"/>
      <c r="S114" s="52"/>
      <c r="T114" s="52"/>
      <c r="U114" s="52"/>
    </row>
    <row r="115" spans="1:21" s="11" customFormat="1" ht="14.25" thickTop="1">
      <c r="A115" s="137"/>
      <c r="B115" s="51"/>
      <c r="C115" s="51"/>
      <c r="D115" s="5"/>
      <c r="E115" s="5"/>
      <c r="F115" s="85"/>
      <c r="G115" s="51"/>
      <c r="H115" s="85"/>
      <c r="I115" s="51"/>
      <c r="J115" s="51"/>
      <c r="K115" s="83"/>
      <c r="Q115" s="52"/>
      <c r="R115" s="52"/>
      <c r="S115" s="52"/>
      <c r="T115" s="52"/>
      <c r="U115" s="52"/>
    </row>
    <row r="116" spans="1:21" s="11" customFormat="1" ht="13.5">
      <c r="A116" s="137"/>
      <c r="B116" s="51"/>
      <c r="C116" s="51"/>
      <c r="D116" s="5"/>
      <c r="E116" s="5"/>
      <c r="F116" s="85"/>
      <c r="G116" s="51"/>
      <c r="H116" s="85"/>
      <c r="I116" s="51"/>
      <c r="J116" s="51"/>
      <c r="K116" s="83"/>
      <c r="Q116" s="52"/>
      <c r="R116" s="52"/>
      <c r="S116" s="52"/>
      <c r="T116" s="52"/>
      <c r="U116" s="52"/>
    </row>
    <row r="117" spans="1:21" s="11" customFormat="1" ht="13.5">
      <c r="A117" s="137"/>
      <c r="B117" s="51"/>
      <c r="C117" s="51"/>
      <c r="D117" s="5"/>
      <c r="E117" s="5"/>
      <c r="F117" s="85"/>
      <c r="G117" s="51"/>
      <c r="H117" s="85"/>
      <c r="I117" s="51"/>
      <c r="J117" s="51"/>
      <c r="K117" s="83"/>
      <c r="Q117" s="52"/>
      <c r="R117" s="52"/>
      <c r="S117" s="52"/>
      <c r="T117" s="52"/>
      <c r="U117" s="52"/>
    </row>
    <row r="118" spans="1:21" s="11" customFormat="1" ht="13.5">
      <c r="A118" s="137"/>
      <c r="B118" s="51"/>
      <c r="C118" s="51"/>
      <c r="D118" s="5"/>
      <c r="E118" s="5"/>
      <c r="F118" s="85"/>
      <c r="G118" s="51"/>
      <c r="H118" s="85"/>
      <c r="I118" s="51"/>
      <c r="J118" s="51"/>
      <c r="K118" s="83"/>
      <c r="Q118" s="52"/>
      <c r="R118" s="52"/>
      <c r="S118" s="52"/>
      <c r="T118" s="52"/>
      <c r="U118" s="52"/>
    </row>
    <row r="119" spans="1:21" s="11" customFormat="1" ht="13.5">
      <c r="A119" s="137"/>
      <c r="B119" s="51"/>
      <c r="C119" s="51"/>
      <c r="D119" s="5"/>
      <c r="E119" s="5"/>
      <c r="F119" s="85"/>
      <c r="G119" s="51"/>
      <c r="H119" s="85"/>
      <c r="I119" s="51"/>
      <c r="J119" s="51"/>
      <c r="K119" s="83"/>
      <c r="Q119" s="52"/>
      <c r="R119" s="52"/>
      <c r="S119" s="52"/>
      <c r="T119" s="52"/>
      <c r="U119" s="52"/>
    </row>
    <row r="120" spans="1:21" s="11" customFormat="1" ht="13.5">
      <c r="A120" s="137"/>
      <c r="B120" s="51"/>
      <c r="C120" s="51"/>
      <c r="D120" s="5"/>
      <c r="E120" s="5"/>
      <c r="F120" s="85"/>
      <c r="G120" s="51"/>
      <c r="H120" s="85"/>
      <c r="I120" s="51"/>
      <c r="J120" s="51"/>
      <c r="K120" s="83"/>
      <c r="Q120" s="52"/>
      <c r="R120" s="52"/>
      <c r="S120" s="52"/>
      <c r="T120" s="52"/>
      <c r="U120" s="52"/>
    </row>
    <row r="121" spans="1:21" s="11" customFormat="1" ht="13.5">
      <c r="A121" s="137"/>
      <c r="B121" s="51"/>
      <c r="C121" s="51"/>
      <c r="D121" s="5"/>
      <c r="E121" s="5"/>
      <c r="F121" s="85"/>
      <c r="G121" s="51"/>
      <c r="H121" s="85"/>
      <c r="I121" s="51"/>
      <c r="J121" s="51"/>
      <c r="K121" s="83"/>
      <c r="Q121" s="52"/>
      <c r="R121" s="52"/>
      <c r="S121" s="52"/>
      <c r="T121" s="52"/>
      <c r="U121" s="52"/>
    </row>
    <row r="122" spans="1:21" s="11" customFormat="1" ht="13.5">
      <c r="A122" s="137"/>
      <c r="B122" s="51"/>
      <c r="C122" s="51"/>
      <c r="D122" s="5"/>
      <c r="E122" s="5"/>
      <c r="F122" s="85"/>
      <c r="G122" s="51"/>
      <c r="H122" s="85"/>
      <c r="I122" s="51"/>
      <c r="J122" s="51"/>
      <c r="K122" s="83"/>
      <c r="Q122" s="52"/>
      <c r="R122" s="52"/>
      <c r="S122" s="52"/>
      <c r="T122" s="52"/>
      <c r="U122" s="52"/>
    </row>
    <row r="123" spans="1:21" s="11" customFormat="1" ht="13.5">
      <c r="A123" s="137"/>
      <c r="B123" s="51"/>
      <c r="C123" s="51"/>
      <c r="D123" s="5"/>
      <c r="E123" s="5"/>
      <c r="F123" s="85"/>
      <c r="G123" s="51"/>
      <c r="H123" s="85"/>
      <c r="I123" s="51"/>
      <c r="J123" s="51"/>
      <c r="K123" s="83"/>
      <c r="Q123" s="52"/>
      <c r="R123" s="52"/>
      <c r="S123" s="52"/>
      <c r="T123" s="52"/>
      <c r="U123" s="52"/>
    </row>
    <row r="124" spans="1:21" s="11" customFormat="1" ht="13.5">
      <c r="A124" s="137"/>
      <c r="B124" s="51"/>
      <c r="C124" s="51"/>
      <c r="D124" s="5"/>
      <c r="E124" s="5"/>
      <c r="F124" s="85"/>
      <c r="G124" s="51"/>
      <c r="H124" s="85"/>
      <c r="I124" s="51"/>
      <c r="J124" s="51"/>
      <c r="K124" s="83"/>
      <c r="Q124" s="52"/>
      <c r="R124" s="52"/>
      <c r="S124" s="52"/>
      <c r="T124" s="52"/>
      <c r="U124" s="52"/>
    </row>
    <row r="125" spans="1:21" s="6" customFormat="1" ht="18" thickBot="1">
      <c r="A125" s="875" t="s">
        <v>62</v>
      </c>
      <c r="B125" s="875"/>
      <c r="C125" s="875"/>
      <c r="D125" s="875"/>
      <c r="E125" s="875"/>
      <c r="F125" s="875"/>
      <c r="G125" s="875"/>
      <c r="H125" s="875"/>
      <c r="I125" s="875"/>
      <c r="J125" s="875"/>
      <c r="K125" s="875"/>
      <c r="Q125" s="25"/>
      <c r="R125" s="25"/>
      <c r="S125" s="25"/>
      <c r="T125" s="25"/>
      <c r="U125" s="25"/>
    </row>
    <row r="126" spans="1:11" s="25" customFormat="1" ht="15">
      <c r="A126" s="89" t="s">
        <v>0</v>
      </c>
      <c r="B126" s="152" t="s">
        <v>17</v>
      </c>
      <c r="C126" s="152" t="s">
        <v>17</v>
      </c>
      <c r="D126" s="38" t="s">
        <v>23</v>
      </c>
      <c r="E126" s="38" t="s">
        <v>137</v>
      </c>
      <c r="F126" s="73" t="s">
        <v>136</v>
      </c>
      <c r="G126" s="9"/>
      <c r="H126" s="36"/>
      <c r="I126" s="1"/>
      <c r="J126" s="1"/>
      <c r="K126" s="41"/>
    </row>
    <row r="127" spans="1:11" s="25" customFormat="1" ht="15.75" thickBot="1">
      <c r="A127" s="102"/>
      <c r="B127" s="313" t="s">
        <v>22</v>
      </c>
      <c r="C127" s="313" t="s">
        <v>22</v>
      </c>
      <c r="D127" s="314" t="s">
        <v>22</v>
      </c>
      <c r="E127" s="314"/>
      <c r="F127" s="315"/>
      <c r="G127" s="9"/>
      <c r="H127" s="36"/>
      <c r="I127" s="1"/>
      <c r="J127" s="1"/>
      <c r="K127" s="41"/>
    </row>
    <row r="128" spans="1:11" s="25" customFormat="1" ht="13.5">
      <c r="A128" s="316" t="s">
        <v>1</v>
      </c>
      <c r="B128" s="209">
        <v>10000</v>
      </c>
      <c r="C128" s="209">
        <v>10000</v>
      </c>
      <c r="D128" s="317"/>
      <c r="E128" s="318"/>
      <c r="F128" s="319"/>
      <c r="G128" s="4"/>
      <c r="H128" s="4"/>
      <c r="I128" s="31"/>
      <c r="J128" s="31"/>
      <c r="K128" s="10"/>
    </row>
    <row r="129" spans="1:14" s="25" customFormat="1" ht="13.5">
      <c r="A129" s="104" t="s">
        <v>8</v>
      </c>
      <c r="B129" s="210">
        <v>40000</v>
      </c>
      <c r="C129" s="210">
        <v>40000</v>
      </c>
      <c r="D129" s="207"/>
      <c r="E129" s="42"/>
      <c r="F129" s="229"/>
      <c r="G129" s="4"/>
      <c r="H129" s="4"/>
      <c r="I129" s="31"/>
      <c r="J129" s="31"/>
      <c r="K129" s="10"/>
      <c r="L129" s="244"/>
      <c r="M129" s="57"/>
      <c r="N129" s="217"/>
    </row>
    <row r="130" spans="1:12" s="25" customFormat="1" ht="13.5">
      <c r="A130" s="104" t="s">
        <v>16</v>
      </c>
      <c r="B130" s="210">
        <v>95000</v>
      </c>
      <c r="C130" s="210">
        <v>95000</v>
      </c>
      <c r="D130" s="207"/>
      <c r="E130" s="42"/>
      <c r="F130" s="229"/>
      <c r="G130" s="27"/>
      <c r="H130" s="4"/>
      <c r="I130" s="31"/>
      <c r="J130" s="31"/>
      <c r="K130" s="10"/>
      <c r="L130" s="244"/>
    </row>
    <row r="131" spans="1:11" s="25" customFormat="1" ht="12.75">
      <c r="A131" s="151" t="s">
        <v>10</v>
      </c>
      <c r="B131" s="48">
        <v>612600</v>
      </c>
      <c r="C131" s="48">
        <v>612600</v>
      </c>
      <c r="D131" s="197"/>
      <c r="E131" s="48"/>
      <c r="F131" s="311" t="s">
        <v>150</v>
      </c>
      <c r="G131" s="4"/>
      <c r="H131" s="4"/>
      <c r="I131" s="31"/>
      <c r="J131" s="31"/>
      <c r="K131" s="10"/>
    </row>
    <row r="132" spans="1:11" s="25" customFormat="1" ht="12.75">
      <c r="A132" s="205" t="s">
        <v>76</v>
      </c>
      <c r="B132" s="48">
        <v>30000</v>
      </c>
      <c r="C132" s="48">
        <v>30000</v>
      </c>
      <c r="D132" s="242"/>
      <c r="E132" s="48"/>
      <c r="F132" s="311" t="s">
        <v>147</v>
      </c>
      <c r="G132" s="4"/>
      <c r="H132" s="4"/>
      <c r="I132" s="31"/>
      <c r="J132" s="31"/>
      <c r="K132" s="10"/>
    </row>
    <row r="133" spans="1:11" s="25" customFormat="1" ht="12.75">
      <c r="A133" s="150" t="s">
        <v>65</v>
      </c>
      <c r="B133" s="42">
        <v>90000</v>
      </c>
      <c r="C133" s="42">
        <v>90000</v>
      </c>
      <c r="D133" s="243"/>
      <c r="E133" s="42"/>
      <c r="F133" s="312" t="s">
        <v>149</v>
      </c>
      <c r="G133" s="4"/>
      <c r="H133" s="4"/>
      <c r="I133" s="31"/>
      <c r="J133" s="31"/>
      <c r="K133" s="10"/>
    </row>
    <row r="134" spans="1:11" s="25" customFormat="1" ht="12.75">
      <c r="A134" s="151" t="s">
        <v>63</v>
      </c>
      <c r="B134" s="48">
        <v>260000</v>
      </c>
      <c r="C134" s="48">
        <v>260000</v>
      </c>
      <c r="D134" s="242"/>
      <c r="E134" s="48"/>
      <c r="F134" s="311" t="s">
        <v>148</v>
      </c>
      <c r="G134" s="4"/>
      <c r="H134" s="4"/>
      <c r="I134" s="31"/>
      <c r="J134" s="31"/>
      <c r="K134" s="10"/>
    </row>
    <row r="135" spans="1:11" s="25" customFormat="1" ht="12.75">
      <c r="A135" s="332" t="s">
        <v>9</v>
      </c>
      <c r="B135" s="48">
        <v>1000</v>
      </c>
      <c r="C135" s="48">
        <v>1000</v>
      </c>
      <c r="D135" s="333"/>
      <c r="E135" s="48"/>
      <c r="F135" s="337" t="s">
        <v>140</v>
      </c>
      <c r="G135" s="4"/>
      <c r="H135" s="4"/>
      <c r="I135" s="31"/>
      <c r="J135" s="31"/>
      <c r="K135" s="10"/>
    </row>
    <row r="136" spans="1:11" s="25" customFormat="1" ht="14.25" thickBot="1">
      <c r="A136" s="330" t="s">
        <v>2</v>
      </c>
      <c r="B136" s="331">
        <f>SUM(B128:B135)</f>
        <v>1138600</v>
      </c>
      <c r="C136" s="331">
        <f>SUM(C128:C135)</f>
        <v>1138600</v>
      </c>
      <c r="D136" s="59">
        <f>SUM(D128:D135)</f>
        <v>0</v>
      </c>
      <c r="E136" s="59">
        <f>SUM(E128:E135)</f>
        <v>0</v>
      </c>
      <c r="F136" s="236"/>
      <c r="G136" s="5"/>
      <c r="H136" s="85"/>
      <c r="I136" s="51"/>
      <c r="J136" s="51"/>
      <c r="K136" s="83"/>
    </row>
    <row r="137" spans="1:11" s="29" customFormat="1" ht="15.75" thickBot="1">
      <c r="A137" s="21"/>
      <c r="B137" s="23"/>
      <c r="C137" s="23"/>
      <c r="D137" s="22"/>
      <c r="E137" s="22"/>
      <c r="F137" s="7"/>
      <c r="G137" s="31"/>
      <c r="H137" s="31"/>
      <c r="I137" s="31"/>
      <c r="J137" s="31"/>
      <c r="K137" s="10"/>
    </row>
    <row r="138" spans="1:11" s="29" customFormat="1" ht="15.75" thickBot="1">
      <c r="A138" s="24" t="s">
        <v>3</v>
      </c>
      <c r="B138" s="23"/>
      <c r="C138" s="23"/>
      <c r="D138" s="22"/>
      <c r="E138" s="22"/>
      <c r="F138" s="7"/>
      <c r="G138" s="31"/>
      <c r="H138" s="31"/>
      <c r="I138" s="31"/>
      <c r="J138" s="31"/>
      <c r="K138" s="10"/>
    </row>
    <row r="139" spans="1:11" s="29" customFormat="1" ht="13.5">
      <c r="A139" s="334" t="s">
        <v>67</v>
      </c>
      <c r="B139" s="335">
        <v>90000</v>
      </c>
      <c r="C139" s="335">
        <v>90000</v>
      </c>
      <c r="D139" s="47"/>
      <c r="E139" s="47"/>
      <c r="F139" s="336"/>
      <c r="G139" s="4"/>
      <c r="H139" s="4"/>
      <c r="I139" s="31"/>
      <c r="J139" s="31"/>
      <c r="K139" s="10"/>
    </row>
    <row r="140" spans="1:11" s="29" customFormat="1" ht="13.5">
      <c r="A140" s="158" t="s">
        <v>77</v>
      </c>
      <c r="B140" s="216">
        <v>30000</v>
      </c>
      <c r="C140" s="216">
        <v>30000</v>
      </c>
      <c r="D140" s="48"/>
      <c r="E140" s="48"/>
      <c r="F140" s="240"/>
      <c r="G140" s="4"/>
      <c r="H140" s="4"/>
      <c r="I140" s="31"/>
      <c r="J140" s="31"/>
      <c r="K140" s="10"/>
    </row>
    <row r="141" spans="1:11" s="29" customFormat="1" ht="13.5">
      <c r="A141" s="158" t="s">
        <v>68</v>
      </c>
      <c r="B141" s="216">
        <v>260000</v>
      </c>
      <c r="C141" s="216">
        <v>260000</v>
      </c>
      <c r="D141" s="48"/>
      <c r="E141" s="48"/>
      <c r="F141" s="240"/>
      <c r="G141" s="4"/>
      <c r="H141" s="4"/>
      <c r="I141" s="31"/>
      <c r="J141" s="31"/>
      <c r="K141" s="10"/>
    </row>
    <row r="142" spans="1:11" s="29" customFormat="1" ht="14.25" thickBot="1">
      <c r="A142" s="143" t="s">
        <v>4</v>
      </c>
      <c r="B142" s="142">
        <v>758600</v>
      </c>
      <c r="C142" s="142">
        <v>758600</v>
      </c>
      <c r="D142" s="43"/>
      <c r="E142" s="43"/>
      <c r="F142" s="235"/>
      <c r="G142" s="4"/>
      <c r="H142" s="4"/>
      <c r="I142" s="31"/>
      <c r="J142" s="31"/>
      <c r="K142" s="10"/>
    </row>
    <row r="143" spans="1:11" s="29" customFormat="1" ht="14.25" thickBot="1">
      <c r="A143" s="80" t="s">
        <v>5</v>
      </c>
      <c r="B143" s="149">
        <f>SUM(B139:B142)</f>
        <v>1138600</v>
      </c>
      <c r="C143" s="149">
        <f>SUM(C139:C142)</f>
        <v>1138600</v>
      </c>
      <c r="D143" s="44">
        <f>SUM(D139:D142)</f>
        <v>0</v>
      </c>
      <c r="E143" s="44">
        <f>SUM(E139:E142)</f>
        <v>0</v>
      </c>
      <c r="F143" s="239"/>
      <c r="G143" s="51"/>
      <c r="H143" s="85"/>
      <c r="I143" s="51"/>
      <c r="J143" s="51"/>
      <c r="K143" s="83"/>
    </row>
    <row r="144" spans="1:5" s="29" customFormat="1" ht="13.5" thickBot="1">
      <c r="A144" s="68"/>
      <c r="B144" s="68"/>
      <c r="C144" s="68"/>
      <c r="D144" s="68"/>
      <c r="E144" s="68"/>
    </row>
    <row r="145" spans="1:5" s="29" customFormat="1" ht="15" thickBot="1" thickTop="1">
      <c r="A145" s="340" t="s">
        <v>169</v>
      </c>
      <c r="B145" s="341"/>
      <c r="C145" s="342"/>
      <c r="D145" s="343">
        <f>D143-D136</f>
        <v>0</v>
      </c>
      <c r="E145" s="68"/>
    </row>
    <row r="146" spans="1:5" s="29" customFormat="1" ht="14.25" thickBot="1" thickTop="1">
      <c r="A146" s="68"/>
      <c r="B146" s="68"/>
      <c r="C146" s="68"/>
      <c r="D146" s="344"/>
      <c r="E146" s="68"/>
    </row>
    <row r="147" spans="1:5" s="29" customFormat="1" ht="15" thickBot="1" thickTop="1">
      <c r="A147" s="340" t="s">
        <v>170</v>
      </c>
      <c r="B147" s="341"/>
      <c r="C147" s="342"/>
      <c r="D147" s="343">
        <f>D145+D123+D93+D74</f>
        <v>0</v>
      </c>
      <c r="E147" s="68"/>
    </row>
    <row r="148" spans="1:5" s="29" customFormat="1" ht="13.5" thickTop="1">
      <c r="A148" s="68"/>
      <c r="B148" s="68"/>
      <c r="C148" s="68"/>
      <c r="D148" s="68"/>
      <c r="E148" s="68"/>
    </row>
    <row r="149" spans="1:5" s="29" customFormat="1" ht="12.75">
      <c r="A149" s="68"/>
      <c r="B149" s="68"/>
      <c r="C149" s="68"/>
      <c r="D149" s="68"/>
      <c r="E149" s="68"/>
    </row>
    <row r="150" spans="1:5" s="29" customFormat="1" ht="13.5">
      <c r="A150" s="273"/>
      <c r="B150" s="68"/>
      <c r="C150" s="68"/>
      <c r="D150" s="68"/>
      <c r="E150" s="68"/>
    </row>
    <row r="151" spans="1:19" s="29" customFormat="1" ht="12.75">
      <c r="A151" s="274"/>
      <c r="B151" s="274"/>
      <c r="C151" s="274"/>
      <c r="D151" s="274"/>
      <c r="E151" s="274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</row>
    <row r="152" spans="1:19" s="29" customFormat="1" ht="12.75">
      <c r="A152" s="274"/>
      <c r="B152" s="274"/>
      <c r="C152" s="274"/>
      <c r="D152" s="274"/>
      <c r="E152" s="274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</row>
    <row r="153" spans="1:5" s="29" customFormat="1" ht="12.75">
      <c r="A153" s="274"/>
      <c r="B153" s="68"/>
      <c r="C153" s="68"/>
      <c r="D153" s="68"/>
      <c r="E153" s="68"/>
    </row>
    <row r="154" spans="1:5" s="29" customFormat="1" ht="12.75">
      <c r="A154" s="274"/>
      <c r="B154" s="68"/>
      <c r="C154" s="68"/>
      <c r="D154" s="68"/>
      <c r="E154" s="68"/>
    </row>
    <row r="155" spans="1:5" s="29" customFormat="1" ht="12.75">
      <c r="A155" s="274"/>
      <c r="B155" s="68"/>
      <c r="C155" s="68"/>
      <c r="D155" s="68"/>
      <c r="E155" s="68"/>
    </row>
    <row r="156" spans="1:5" s="29" customFormat="1" ht="12.75">
      <c r="A156" s="274"/>
      <c r="B156" s="68"/>
      <c r="C156" s="68"/>
      <c r="D156" s="68"/>
      <c r="E156" s="68"/>
    </row>
    <row r="157" spans="1:5" s="29" customFormat="1" ht="12.75">
      <c r="A157" s="274"/>
      <c r="B157" s="68"/>
      <c r="C157" s="68"/>
      <c r="D157" s="68"/>
      <c r="E157" s="68"/>
    </row>
    <row r="158" spans="1:5" s="29" customFormat="1" ht="12.75">
      <c r="A158" s="274"/>
      <c r="B158" s="68"/>
      <c r="C158" s="68"/>
      <c r="D158" s="68"/>
      <c r="E158" s="68"/>
    </row>
    <row r="159" spans="1:21" ht="12.75">
      <c r="A159" s="276"/>
      <c r="B159" s="63"/>
      <c r="C159" s="63"/>
      <c r="D159" s="63"/>
      <c r="E159" s="63"/>
      <c r="Q159" s="29"/>
      <c r="R159" s="29"/>
      <c r="S159" s="29"/>
      <c r="T159" s="29"/>
      <c r="U159" s="29"/>
    </row>
    <row r="160" spans="1:21" ht="12.75">
      <c r="A160" s="276"/>
      <c r="Q160" s="29"/>
      <c r="R160" s="29"/>
      <c r="S160" s="29"/>
      <c r="T160" s="29"/>
      <c r="U160" s="29"/>
    </row>
    <row r="161" spans="1:21" ht="12.75">
      <c r="A161" s="276"/>
      <c r="Q161" s="29"/>
      <c r="R161" s="29"/>
      <c r="S161" s="29"/>
      <c r="T161" s="29"/>
      <c r="U161" s="29"/>
    </row>
    <row r="162" ht="13.5">
      <c r="A162" s="289"/>
    </row>
    <row r="163" ht="12.75">
      <c r="A163" s="276"/>
    </row>
    <row r="164" ht="12.75">
      <c r="A164" s="276"/>
    </row>
    <row r="165" ht="12.75">
      <c r="A165" s="276"/>
    </row>
    <row r="166" ht="12.75">
      <c r="A166" s="276"/>
    </row>
    <row r="167" ht="12.75">
      <c r="A167" s="276"/>
    </row>
    <row r="168" ht="12.75">
      <c r="A168" s="276"/>
    </row>
    <row r="169" ht="12.75">
      <c r="A169" s="276"/>
    </row>
    <row r="170" ht="13.5">
      <c r="A170" s="289"/>
    </row>
    <row r="171" ht="12.75">
      <c r="A171" s="276"/>
    </row>
    <row r="172" ht="12.75">
      <c r="A172" s="276"/>
    </row>
    <row r="173" ht="12.75">
      <c r="A173" s="276"/>
    </row>
    <row r="174" ht="12.75">
      <c r="A174" s="276"/>
    </row>
    <row r="175" ht="12.75">
      <c r="A175" s="276"/>
    </row>
    <row r="178" spans="1:6" ht="12.75">
      <c r="A178" t="s">
        <v>160</v>
      </c>
      <c r="F178" t="s">
        <v>162</v>
      </c>
    </row>
    <row r="179" ht="12.75">
      <c r="F179" t="s">
        <v>161</v>
      </c>
    </row>
  </sheetData>
  <sheetProtection/>
  <mergeCells count="5">
    <mergeCell ref="A1:K1"/>
    <mergeCell ref="A2:K2"/>
    <mergeCell ref="A65:H65"/>
    <mergeCell ref="A84:K84"/>
    <mergeCell ref="A125:K125"/>
  </mergeCells>
  <printOptions/>
  <pageMargins left="0.9055118110236221" right="0.2755905511811024" top="0.5905511811023623" bottom="0.2755905511811024" header="0.5118110236220472" footer="0.2755905511811024"/>
  <pageSetup horizontalDpi="600" verticalDpi="600" orientation="landscape" paperSize="9" scale="65" r:id="rId1"/>
  <headerFooter alignWithMargins="0">
    <oddFooter>&amp;C&amp;P</oddFooter>
  </headerFooter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94"/>
  <sheetViews>
    <sheetView workbookViewId="0" topLeftCell="A160">
      <selection activeCell="A169" sqref="A1:IV16384"/>
    </sheetView>
  </sheetViews>
  <sheetFormatPr defaultColWidth="9.00390625" defaultRowHeight="12.75"/>
  <cols>
    <col min="1" max="1" width="4.375" style="124" customWidth="1"/>
    <col min="2" max="2" width="44.00390625" style="0" customWidth="1"/>
    <col min="3" max="3" width="12.875" style="0" customWidth="1"/>
    <col min="4" max="4" width="12.125" style="0" customWidth="1"/>
    <col min="5" max="5" width="12.00390625" style="382" customWidth="1"/>
    <col min="6" max="6" width="13.00390625" style="382" customWidth="1"/>
    <col min="7" max="7" width="15.00390625" style="389" customWidth="1"/>
    <col min="8" max="8" width="8.50390625" style="0" hidden="1" customWidth="1"/>
    <col min="9" max="12" width="9.125" style="0" hidden="1" customWidth="1"/>
    <col min="13" max="13" width="28.375" style="124" customWidth="1"/>
    <col min="14" max="14" width="9.50390625" style="0" bestFit="1" customWidth="1"/>
    <col min="15" max="15" width="10.875" style="0" customWidth="1"/>
    <col min="16" max="16" width="9.125" style="500" customWidth="1"/>
  </cols>
  <sheetData>
    <row r="1" spans="2:12" ht="20.25">
      <c r="B1" s="872" t="s">
        <v>163</v>
      </c>
      <c r="C1" s="872"/>
      <c r="D1" s="872"/>
      <c r="E1" s="872"/>
      <c r="F1" s="872"/>
      <c r="G1" s="872"/>
      <c r="H1" s="872"/>
      <c r="I1" s="872"/>
      <c r="J1" s="872"/>
      <c r="K1" s="872"/>
      <c r="L1" s="872"/>
    </row>
    <row r="2" spans="2:15" ht="20.25">
      <c r="B2" s="873" t="s">
        <v>6</v>
      </c>
      <c r="C2" s="873"/>
      <c r="D2" s="873"/>
      <c r="E2" s="873"/>
      <c r="F2" s="873"/>
      <c r="G2" s="873"/>
      <c r="H2" s="873"/>
      <c r="I2" s="873"/>
      <c r="J2" s="873"/>
      <c r="K2" s="873"/>
      <c r="L2" s="873"/>
      <c r="O2" t="s">
        <v>173</v>
      </c>
    </row>
    <row r="3" spans="1:16" s="10" customFormat="1" ht="5.25" customHeight="1">
      <c r="A3" s="347"/>
      <c r="B3" s="8"/>
      <c r="C3" s="9"/>
      <c r="D3" s="9"/>
      <c r="E3" s="348"/>
      <c r="F3" s="348"/>
      <c r="G3" s="385"/>
      <c r="H3" s="9"/>
      <c r="I3" s="36"/>
      <c r="J3" s="1"/>
      <c r="K3" s="1"/>
      <c r="L3" s="41"/>
      <c r="M3" s="347"/>
      <c r="P3" s="513"/>
    </row>
    <row r="4" spans="1:20" s="10" customFormat="1" ht="11.25" customHeight="1" thickBot="1">
      <c r="A4" s="347"/>
      <c r="B4" s="8"/>
      <c r="C4" s="9"/>
      <c r="D4" s="9"/>
      <c r="E4" s="348"/>
      <c r="F4" s="348"/>
      <c r="G4" s="385"/>
      <c r="H4" s="9"/>
      <c r="I4" s="36"/>
      <c r="J4" s="1"/>
      <c r="K4" s="1"/>
      <c r="L4" s="41"/>
      <c r="M4" s="347"/>
      <c r="N4" s="131"/>
      <c r="O4" s="131"/>
      <c r="P4" s="502"/>
      <c r="Q4" s="29"/>
      <c r="R4" s="29"/>
      <c r="S4" s="29"/>
      <c r="T4" s="29"/>
    </row>
    <row r="5" spans="2:20" ht="15">
      <c r="B5" s="89" t="s">
        <v>7</v>
      </c>
      <c r="C5" s="349" t="s">
        <v>17</v>
      </c>
      <c r="D5" s="93" t="s">
        <v>23</v>
      </c>
      <c r="E5" s="350" t="s">
        <v>137</v>
      </c>
      <c r="F5" s="383" t="s">
        <v>171</v>
      </c>
      <c r="G5" s="386" t="s">
        <v>165</v>
      </c>
      <c r="H5" s="181"/>
      <c r="I5" s="415"/>
      <c r="J5" s="416"/>
      <c r="K5" s="416"/>
      <c r="L5" s="417"/>
      <c r="M5" s="351" t="s">
        <v>136</v>
      </c>
      <c r="N5" s="131"/>
      <c r="O5" s="25"/>
      <c r="P5" s="57"/>
      <c r="Q5" s="29"/>
      <c r="R5" s="29"/>
      <c r="S5" s="29"/>
      <c r="T5" s="29"/>
    </row>
    <row r="6" spans="2:20" ht="15.75" thickBot="1">
      <c r="B6" s="369"/>
      <c r="C6" s="352" t="s">
        <v>22</v>
      </c>
      <c r="D6" s="94" t="s">
        <v>22</v>
      </c>
      <c r="E6" s="353">
        <v>2015</v>
      </c>
      <c r="F6" s="418" t="s">
        <v>172</v>
      </c>
      <c r="G6" s="395">
        <v>2017</v>
      </c>
      <c r="H6" s="182"/>
      <c r="I6" s="419"/>
      <c r="J6" s="420"/>
      <c r="K6" s="420"/>
      <c r="L6" s="421"/>
      <c r="M6" s="355"/>
      <c r="N6" s="29"/>
      <c r="O6" s="29"/>
      <c r="P6" s="134"/>
      <c r="Q6" s="29"/>
      <c r="R6" s="29"/>
      <c r="S6" s="29"/>
      <c r="T6" s="29"/>
    </row>
    <row r="7" spans="1:20" s="2" customFormat="1" ht="12.75" customHeight="1">
      <c r="A7" s="124"/>
      <c r="B7" s="532" t="s">
        <v>298</v>
      </c>
      <c r="C7" s="426">
        <v>1200000</v>
      </c>
      <c r="D7" s="410">
        <f>C7</f>
        <v>1200000</v>
      </c>
      <c r="E7" s="411">
        <v>180273</v>
      </c>
      <c r="F7" s="411">
        <v>203000</v>
      </c>
      <c r="G7" s="499">
        <v>214700</v>
      </c>
      <c r="H7" s="4"/>
      <c r="I7" s="26"/>
      <c r="J7" s="65"/>
      <c r="K7" s="65"/>
      <c r="L7" s="69"/>
      <c r="M7" s="414" t="s">
        <v>290</v>
      </c>
      <c r="N7" s="57"/>
      <c r="O7" s="57"/>
      <c r="P7" s="57"/>
      <c r="Q7" s="70"/>
      <c r="R7" s="70"/>
      <c r="S7" s="70"/>
      <c r="T7" s="70"/>
    </row>
    <row r="8" spans="1:20" s="2" customFormat="1" ht="12.75" customHeight="1">
      <c r="A8" s="124"/>
      <c r="B8" s="533" t="s">
        <v>135</v>
      </c>
      <c r="C8" s="427"/>
      <c r="D8" s="397"/>
      <c r="E8" s="398">
        <v>108606</v>
      </c>
      <c r="F8" s="398">
        <v>77000</v>
      </c>
      <c r="G8" s="413">
        <v>88700</v>
      </c>
      <c r="H8" s="4"/>
      <c r="I8" s="26"/>
      <c r="J8" s="65"/>
      <c r="K8" s="65"/>
      <c r="L8" s="69"/>
      <c r="M8" s="357" t="s">
        <v>290</v>
      </c>
      <c r="N8" s="57"/>
      <c r="O8" s="57"/>
      <c r="P8" s="57"/>
      <c r="Q8" s="70"/>
      <c r="R8" s="70"/>
      <c r="S8" s="70"/>
      <c r="T8" s="70"/>
    </row>
    <row r="9" spans="1:20" s="2" customFormat="1" ht="12.75" customHeight="1">
      <c r="A9" s="124"/>
      <c r="B9" s="533" t="s">
        <v>34</v>
      </c>
      <c r="C9" s="428"/>
      <c r="D9" s="422"/>
      <c r="E9" s="423">
        <v>850526</v>
      </c>
      <c r="F9" s="423">
        <v>920000</v>
      </c>
      <c r="G9" s="424">
        <v>1012100</v>
      </c>
      <c r="H9" s="4"/>
      <c r="I9" s="26"/>
      <c r="J9" s="65"/>
      <c r="K9" s="65"/>
      <c r="L9" s="69"/>
      <c r="M9" s="358" t="s">
        <v>290</v>
      </c>
      <c r="N9" s="57"/>
      <c r="O9" s="57"/>
      <c r="P9" s="57"/>
      <c r="Q9" s="70"/>
      <c r="R9" s="70"/>
      <c r="S9" s="70"/>
      <c r="T9" s="70"/>
    </row>
    <row r="10" spans="1:20" s="2" customFormat="1" ht="12.75" customHeight="1">
      <c r="A10" s="124"/>
      <c r="B10" s="534" t="s">
        <v>1</v>
      </c>
      <c r="C10" s="426">
        <v>50000</v>
      </c>
      <c r="D10" s="410">
        <f>C10</f>
        <v>50000</v>
      </c>
      <c r="E10" s="411">
        <v>7811</v>
      </c>
      <c r="F10" s="412">
        <v>50000</v>
      </c>
      <c r="G10" s="396">
        <v>67000</v>
      </c>
      <c r="H10" s="4"/>
      <c r="I10" s="26"/>
      <c r="J10" s="65"/>
      <c r="K10" s="65"/>
      <c r="L10" s="69"/>
      <c r="M10" s="357"/>
      <c r="N10" s="57"/>
      <c r="O10" s="57"/>
      <c r="P10" s="57"/>
      <c r="Q10" s="70"/>
      <c r="R10" s="70"/>
      <c r="S10" s="70"/>
      <c r="T10" s="70"/>
    </row>
    <row r="11" spans="1:20" s="2" customFormat="1" ht="12.75" customHeight="1">
      <c r="A11" s="124"/>
      <c r="B11" s="527" t="s">
        <v>8</v>
      </c>
      <c r="C11" s="427">
        <v>395000</v>
      </c>
      <c r="D11" s="397">
        <f>C11</f>
        <v>395000</v>
      </c>
      <c r="E11" s="398">
        <v>357616</v>
      </c>
      <c r="F11" s="399">
        <v>395000</v>
      </c>
      <c r="G11" s="400">
        <v>403000</v>
      </c>
      <c r="H11" s="4"/>
      <c r="I11" s="26"/>
      <c r="J11" s="65"/>
      <c r="K11" s="65"/>
      <c r="L11" s="69"/>
      <c r="M11" s="357" t="s">
        <v>230</v>
      </c>
      <c r="N11" s="57"/>
      <c r="O11" s="57"/>
      <c r="P11" s="57"/>
      <c r="Q11" s="70"/>
      <c r="R11" s="70"/>
      <c r="S11" s="70"/>
      <c r="T11" s="70"/>
    </row>
    <row r="12" spans="1:20" s="2" customFormat="1" ht="12.75" customHeight="1">
      <c r="A12" s="124"/>
      <c r="B12" s="527" t="s">
        <v>18</v>
      </c>
      <c r="C12" s="427">
        <v>3300000</v>
      </c>
      <c r="D12" s="397">
        <f>C12</f>
        <v>3300000</v>
      </c>
      <c r="E12" s="398">
        <f>3456317-E20</f>
        <v>3419317</v>
      </c>
      <c r="F12" s="401">
        <f>2100000-479570+293778+383-97899+8000</f>
        <v>1824692</v>
      </c>
      <c r="G12" s="400">
        <v>1900000</v>
      </c>
      <c r="H12" s="4"/>
      <c r="I12" s="26"/>
      <c r="J12" s="65"/>
      <c r="K12" s="65"/>
      <c r="L12" s="69"/>
      <c r="M12" s="357" t="s">
        <v>230</v>
      </c>
      <c r="N12" s="57"/>
      <c r="O12" s="57"/>
      <c r="P12" s="57"/>
      <c r="Q12" s="70"/>
      <c r="R12" s="70"/>
      <c r="S12" s="70"/>
      <c r="T12" s="70"/>
    </row>
    <row r="13" spans="1:20" s="2" customFormat="1" ht="12.75" customHeight="1">
      <c r="A13" s="124"/>
      <c r="B13" s="527" t="s">
        <v>9</v>
      </c>
      <c r="C13" s="427">
        <v>230000</v>
      </c>
      <c r="D13" s="397">
        <f>C13</f>
        <v>230000</v>
      </c>
      <c r="E13" s="398">
        <v>318</v>
      </c>
      <c r="F13" s="401">
        <f>1130000+93778-70037-38000-100000-1</f>
        <v>1015740</v>
      </c>
      <c r="G13" s="400">
        <v>1100000</v>
      </c>
      <c r="H13" s="4"/>
      <c r="I13" s="26"/>
      <c r="J13" s="65"/>
      <c r="K13" s="65"/>
      <c r="L13" s="69"/>
      <c r="M13" s="357" t="s">
        <v>230</v>
      </c>
      <c r="N13" s="57"/>
      <c r="O13" s="57"/>
      <c r="P13" s="57"/>
      <c r="Q13" s="70"/>
      <c r="R13" s="70"/>
      <c r="S13" s="70"/>
      <c r="T13" s="70"/>
    </row>
    <row r="14" spans="1:20" s="2" customFormat="1" ht="12.75" customHeight="1">
      <c r="A14" s="124"/>
      <c r="B14" s="527" t="s">
        <v>10</v>
      </c>
      <c r="C14" s="427">
        <v>3950254</v>
      </c>
      <c r="D14" s="402">
        <v>3962821</v>
      </c>
      <c r="E14" s="398">
        <v>3339761</v>
      </c>
      <c r="F14" s="403">
        <v>3962821</v>
      </c>
      <c r="G14" s="400">
        <v>4483273</v>
      </c>
      <c r="H14" s="4"/>
      <c r="I14" s="26"/>
      <c r="J14" s="81"/>
      <c r="K14" s="81"/>
      <c r="L14" s="69"/>
      <c r="M14" s="357" t="s">
        <v>229</v>
      </c>
      <c r="N14" s="124" t="s">
        <v>174</v>
      </c>
      <c r="O14" s="57"/>
      <c r="P14" s="514" t="s">
        <v>291</v>
      </c>
      <c r="Q14" s="70"/>
      <c r="R14" s="70"/>
      <c r="S14" s="70"/>
      <c r="T14" s="70"/>
    </row>
    <row r="15" spans="1:20" s="2" customFormat="1" ht="12.75" customHeight="1">
      <c r="A15" s="124">
        <v>1601</v>
      </c>
      <c r="B15" s="518" t="s">
        <v>39</v>
      </c>
      <c r="C15" s="427">
        <v>950000</v>
      </c>
      <c r="D15" s="404">
        <f>C15</f>
        <v>950000</v>
      </c>
      <c r="E15" s="398">
        <v>1299917</v>
      </c>
      <c r="F15" s="398">
        <f>1300000-F16</f>
        <v>1170000</v>
      </c>
      <c r="G15" s="400">
        <v>1265000</v>
      </c>
      <c r="H15" s="4"/>
      <c r="I15" s="53"/>
      <c r="J15" s="65"/>
      <c r="K15" s="65"/>
      <c r="L15" s="69"/>
      <c r="M15" s="357" t="s">
        <v>231</v>
      </c>
      <c r="N15" s="57">
        <f>G15</f>
        <v>1265000</v>
      </c>
      <c r="O15" s="348"/>
      <c r="P15" s="57">
        <f>52500+12500+100000</f>
        <v>165000</v>
      </c>
      <c r="Q15" s="70"/>
      <c r="R15" s="70"/>
      <c r="S15" s="70"/>
      <c r="T15" s="70"/>
    </row>
    <row r="16" spans="1:20" s="2" customFormat="1" ht="12.75" customHeight="1">
      <c r="A16" s="124"/>
      <c r="B16" s="535" t="s">
        <v>175</v>
      </c>
      <c r="C16" s="429"/>
      <c r="D16" s="405">
        <v>130000</v>
      </c>
      <c r="E16" s="406"/>
      <c r="F16" s="406">
        <v>130000</v>
      </c>
      <c r="G16" s="400"/>
      <c r="H16" s="4"/>
      <c r="I16" s="53"/>
      <c r="J16" s="65"/>
      <c r="K16" s="65"/>
      <c r="L16" s="69"/>
      <c r="M16" s="357"/>
      <c r="N16" s="57"/>
      <c r="O16" s="348"/>
      <c r="P16" s="57"/>
      <c r="Q16" s="70"/>
      <c r="R16" s="70"/>
      <c r="S16" s="70"/>
      <c r="T16" s="70"/>
    </row>
    <row r="17" spans="1:20" s="2" customFormat="1" ht="12.75" customHeight="1">
      <c r="A17" s="124"/>
      <c r="B17" s="535" t="s">
        <v>216</v>
      </c>
      <c r="C17" s="429"/>
      <c r="D17" s="405"/>
      <c r="E17" s="406"/>
      <c r="F17" s="406"/>
      <c r="G17" s="400">
        <v>50000</v>
      </c>
      <c r="H17" s="4"/>
      <c r="I17" s="53"/>
      <c r="J17" s="65"/>
      <c r="K17" s="65"/>
      <c r="L17" s="69"/>
      <c r="M17" s="357" t="s">
        <v>232</v>
      </c>
      <c r="N17" s="57">
        <f>G17</f>
        <v>50000</v>
      </c>
      <c r="O17" s="348"/>
      <c r="P17" s="57"/>
      <c r="Q17" s="70"/>
      <c r="R17" s="70"/>
      <c r="S17" s="70"/>
      <c r="T17" s="70"/>
    </row>
    <row r="18" spans="1:20" s="2" customFormat="1" ht="12.75" customHeight="1">
      <c r="A18" s="124">
        <v>1902</v>
      </c>
      <c r="B18" s="518" t="s">
        <v>139</v>
      </c>
      <c r="C18" s="427">
        <v>100000</v>
      </c>
      <c r="D18" s="404">
        <f aca="true" t="shared" si="0" ref="D18:D52">C18</f>
        <v>100000</v>
      </c>
      <c r="E18" s="398">
        <v>2815</v>
      </c>
      <c r="F18" s="398">
        <v>100000</v>
      </c>
      <c r="G18" s="400"/>
      <c r="H18" s="4"/>
      <c r="I18" s="53"/>
      <c r="J18" s="65"/>
      <c r="K18" s="65"/>
      <c r="L18" s="69"/>
      <c r="M18" s="357"/>
      <c r="N18" s="57"/>
      <c r="O18" s="348"/>
      <c r="P18" s="57"/>
      <c r="Q18" s="70"/>
      <c r="R18" s="70"/>
      <c r="S18" s="70"/>
      <c r="T18" s="70"/>
    </row>
    <row r="19" spans="1:20" s="2" customFormat="1" ht="12.75" customHeight="1">
      <c r="A19" s="124">
        <v>1306</v>
      </c>
      <c r="B19" s="518" t="s">
        <v>69</v>
      </c>
      <c r="C19" s="430">
        <v>30000</v>
      </c>
      <c r="D19" s="404">
        <f t="shared" si="0"/>
        <v>30000</v>
      </c>
      <c r="E19" s="398">
        <v>40346</v>
      </c>
      <c r="F19" s="398">
        <v>42000</v>
      </c>
      <c r="G19" s="400">
        <v>50000</v>
      </c>
      <c r="H19" s="4"/>
      <c r="I19" s="53"/>
      <c r="J19" s="65"/>
      <c r="K19" s="65"/>
      <c r="L19" s="69"/>
      <c r="M19" s="357" t="s">
        <v>233</v>
      </c>
      <c r="N19" s="57">
        <f>G19</f>
        <v>50000</v>
      </c>
      <c r="O19" s="348"/>
      <c r="P19" s="57">
        <v>20000</v>
      </c>
      <c r="Q19" s="70"/>
      <c r="R19" s="70"/>
      <c r="S19" s="70"/>
      <c r="T19" s="70"/>
    </row>
    <row r="20" spans="1:20" s="2" customFormat="1" ht="12.75" customHeight="1">
      <c r="A20" s="124">
        <v>1317</v>
      </c>
      <c r="B20" s="518" t="s">
        <v>176</v>
      </c>
      <c r="C20" s="430"/>
      <c r="D20" s="404"/>
      <c r="E20" s="398">
        <v>37000</v>
      </c>
      <c r="F20" s="398"/>
      <c r="G20" s="400"/>
      <c r="H20" s="4"/>
      <c r="I20" s="53"/>
      <c r="J20" s="65"/>
      <c r="K20" s="65"/>
      <c r="L20" s="69"/>
      <c r="M20" s="357"/>
      <c r="N20" s="57"/>
      <c r="O20" s="348"/>
      <c r="P20" s="57"/>
      <c r="Q20" s="70"/>
      <c r="R20" s="70"/>
      <c r="S20" s="70"/>
      <c r="T20" s="70"/>
    </row>
    <row r="21" spans="1:20" s="2" customFormat="1" ht="12.75" customHeight="1">
      <c r="A21" s="124">
        <v>1313</v>
      </c>
      <c r="B21" s="518" t="s">
        <v>24</v>
      </c>
      <c r="C21" s="430">
        <v>40000</v>
      </c>
      <c r="D21" s="404">
        <f t="shared" si="0"/>
        <v>40000</v>
      </c>
      <c r="E21" s="398">
        <v>37752</v>
      </c>
      <c r="F21" s="398">
        <v>40000</v>
      </c>
      <c r="G21" s="400">
        <v>60000</v>
      </c>
      <c r="H21" s="4"/>
      <c r="I21" s="53"/>
      <c r="J21" s="65"/>
      <c r="K21" s="65"/>
      <c r="L21" s="69"/>
      <c r="M21" s="357" t="s">
        <v>235</v>
      </c>
      <c r="N21" s="57">
        <f aca="true" t="shared" si="1" ref="N21:N27">G21</f>
        <v>60000</v>
      </c>
      <c r="O21" s="348"/>
      <c r="P21" s="57"/>
      <c r="Q21" s="70"/>
      <c r="R21" s="70"/>
      <c r="S21" s="70"/>
      <c r="T21" s="70"/>
    </row>
    <row r="22" spans="1:20" s="2" customFormat="1" ht="12.75" customHeight="1">
      <c r="A22" s="124">
        <v>1318</v>
      </c>
      <c r="B22" s="518" t="s">
        <v>25</v>
      </c>
      <c r="C22" s="430">
        <v>40000</v>
      </c>
      <c r="D22" s="404">
        <f t="shared" si="0"/>
        <v>40000</v>
      </c>
      <c r="E22" s="398">
        <v>28894</v>
      </c>
      <c r="F22" s="398">
        <v>40000</v>
      </c>
      <c r="G22" s="400">
        <v>56000</v>
      </c>
      <c r="H22" s="4"/>
      <c r="I22" s="53"/>
      <c r="J22" s="65"/>
      <c r="K22" s="65"/>
      <c r="L22" s="69"/>
      <c r="M22" s="357" t="s">
        <v>236</v>
      </c>
      <c r="N22" s="57">
        <f t="shared" si="1"/>
        <v>56000</v>
      </c>
      <c r="O22" s="348"/>
      <c r="P22" s="57">
        <v>16000</v>
      </c>
      <c r="Q22" s="70"/>
      <c r="R22" s="70"/>
      <c r="S22" s="70"/>
      <c r="T22" s="70"/>
    </row>
    <row r="23" spans="1:20" s="2" customFormat="1" ht="12.75" customHeight="1">
      <c r="A23" s="124">
        <v>1311</v>
      </c>
      <c r="B23" s="518" t="s">
        <v>26</v>
      </c>
      <c r="C23" s="430">
        <v>120000</v>
      </c>
      <c r="D23" s="404">
        <f t="shared" si="0"/>
        <v>120000</v>
      </c>
      <c r="E23" s="398">
        <v>135729</v>
      </c>
      <c r="F23" s="398">
        <v>140000</v>
      </c>
      <c r="G23" s="400">
        <v>140000</v>
      </c>
      <c r="H23" s="4"/>
      <c r="I23" s="53"/>
      <c r="J23" s="65"/>
      <c r="K23" s="65"/>
      <c r="L23" s="69"/>
      <c r="M23" s="357" t="s">
        <v>237</v>
      </c>
      <c r="N23" s="57">
        <f t="shared" si="1"/>
        <v>140000</v>
      </c>
      <c r="O23" s="348"/>
      <c r="P23" s="57"/>
      <c r="Q23" s="70"/>
      <c r="R23" s="70"/>
      <c r="S23" s="70"/>
      <c r="T23" s="70"/>
    </row>
    <row r="24" spans="1:20" s="2" customFormat="1" ht="12.75" customHeight="1">
      <c r="A24" s="124">
        <v>1500</v>
      </c>
      <c r="B24" s="518" t="s">
        <v>20</v>
      </c>
      <c r="C24" s="430">
        <v>402930</v>
      </c>
      <c r="D24" s="404">
        <f t="shared" si="0"/>
        <v>402930</v>
      </c>
      <c r="E24" s="398">
        <v>452092</v>
      </c>
      <c r="F24" s="398">
        <v>580000</v>
      </c>
      <c r="G24" s="400">
        <v>495000</v>
      </c>
      <c r="H24" s="4"/>
      <c r="I24" s="53"/>
      <c r="J24" s="65"/>
      <c r="K24" s="65"/>
      <c r="L24" s="69"/>
      <c r="M24" s="357" t="s">
        <v>252</v>
      </c>
      <c r="N24" s="57">
        <f t="shared" si="1"/>
        <v>495000</v>
      </c>
      <c r="O24" s="348"/>
      <c r="P24" s="57"/>
      <c r="Q24" s="70"/>
      <c r="R24" s="70"/>
      <c r="S24" s="70"/>
      <c r="T24" s="70"/>
    </row>
    <row r="25" spans="1:20" s="2" customFormat="1" ht="12.75" customHeight="1">
      <c r="A25" s="124">
        <v>1323</v>
      </c>
      <c r="B25" s="518" t="s">
        <v>40</v>
      </c>
      <c r="C25" s="430">
        <v>50000</v>
      </c>
      <c r="D25" s="404">
        <f t="shared" si="0"/>
        <v>50000</v>
      </c>
      <c r="E25" s="398">
        <v>26825</v>
      </c>
      <c r="F25" s="398">
        <v>50000</v>
      </c>
      <c r="G25" s="400">
        <v>62000</v>
      </c>
      <c r="H25" s="4"/>
      <c r="I25" s="53"/>
      <c r="J25" s="65"/>
      <c r="K25" s="65"/>
      <c r="L25" s="69"/>
      <c r="M25" s="357" t="s">
        <v>238</v>
      </c>
      <c r="N25" s="57">
        <f t="shared" si="1"/>
        <v>62000</v>
      </c>
      <c r="O25" s="348"/>
      <c r="P25" s="57">
        <v>12000</v>
      </c>
      <c r="Q25" s="70"/>
      <c r="R25" s="70"/>
      <c r="S25" s="70"/>
      <c r="T25" s="70"/>
    </row>
    <row r="26" spans="1:20" s="2" customFormat="1" ht="12.75" customHeight="1">
      <c r="A26" s="124">
        <v>1324</v>
      </c>
      <c r="B26" s="518" t="s">
        <v>41</v>
      </c>
      <c r="C26" s="430">
        <v>30000</v>
      </c>
      <c r="D26" s="404">
        <f t="shared" si="0"/>
        <v>30000</v>
      </c>
      <c r="E26" s="398">
        <v>64487</v>
      </c>
      <c r="F26" s="398">
        <v>65000</v>
      </c>
      <c r="G26" s="400">
        <v>70000</v>
      </c>
      <c r="H26" s="4"/>
      <c r="I26" s="53"/>
      <c r="J26" s="65"/>
      <c r="K26" s="65"/>
      <c r="L26" s="69"/>
      <c r="M26" s="357" t="s">
        <v>239</v>
      </c>
      <c r="N26" s="57">
        <f t="shared" si="1"/>
        <v>70000</v>
      </c>
      <c r="O26" s="348"/>
      <c r="P26" s="57">
        <v>40000</v>
      </c>
      <c r="Q26" s="70"/>
      <c r="R26" s="70"/>
      <c r="S26" s="70"/>
      <c r="T26" s="70"/>
    </row>
    <row r="27" spans="1:20" s="2" customFormat="1" ht="12.75" customHeight="1">
      <c r="A27" s="124">
        <v>1325</v>
      </c>
      <c r="B27" s="518" t="s">
        <v>177</v>
      </c>
      <c r="C27" s="430">
        <v>80000</v>
      </c>
      <c r="D27" s="404">
        <f t="shared" si="0"/>
        <v>80000</v>
      </c>
      <c r="E27" s="398">
        <v>291326</v>
      </c>
      <c r="F27" s="398">
        <f>330000-F28</f>
        <v>280000</v>
      </c>
      <c r="G27" s="400">
        <v>340000</v>
      </c>
      <c r="H27" s="4"/>
      <c r="I27" s="53"/>
      <c r="J27" s="65"/>
      <c r="K27" s="65"/>
      <c r="L27" s="69"/>
      <c r="M27" s="357" t="s">
        <v>240</v>
      </c>
      <c r="N27" s="57">
        <f t="shared" si="1"/>
        <v>340000</v>
      </c>
      <c r="O27" s="348"/>
      <c r="P27" s="57">
        <v>260000</v>
      </c>
      <c r="Q27" s="70"/>
      <c r="R27" s="70"/>
      <c r="S27" s="70"/>
      <c r="T27" s="70"/>
    </row>
    <row r="28" spans="1:20" s="2" customFormat="1" ht="12.75" customHeight="1">
      <c r="A28" s="124"/>
      <c r="B28" s="535" t="s">
        <v>178</v>
      </c>
      <c r="C28" s="429"/>
      <c r="D28" s="406">
        <v>50000</v>
      </c>
      <c r="E28" s="406"/>
      <c r="F28" s="406">
        <v>50000</v>
      </c>
      <c r="G28" s="400"/>
      <c r="H28" s="4"/>
      <c r="I28" s="53"/>
      <c r="J28" s="65"/>
      <c r="K28" s="65"/>
      <c r="L28" s="69"/>
      <c r="M28" s="357"/>
      <c r="N28" s="57"/>
      <c r="O28" s="348"/>
      <c r="P28" s="57"/>
      <c r="Q28" s="70"/>
      <c r="R28" s="70"/>
      <c r="S28" s="70"/>
      <c r="T28" s="70"/>
    </row>
    <row r="29" spans="1:20" s="2" customFormat="1" ht="12.75" customHeight="1">
      <c r="A29" s="124">
        <v>1312</v>
      </c>
      <c r="B29" s="518" t="s">
        <v>179</v>
      </c>
      <c r="C29" s="430">
        <v>370000</v>
      </c>
      <c r="D29" s="404">
        <f t="shared" si="0"/>
        <v>370000</v>
      </c>
      <c r="E29" s="398">
        <v>246390</v>
      </c>
      <c r="F29" s="398">
        <v>370000</v>
      </c>
      <c r="G29" s="400">
        <v>370000</v>
      </c>
      <c r="H29" s="4"/>
      <c r="I29" s="53"/>
      <c r="J29" s="65"/>
      <c r="K29" s="65"/>
      <c r="L29" s="69"/>
      <c r="M29" s="357" t="s">
        <v>241</v>
      </c>
      <c r="N29" s="57">
        <f aca="true" t="shared" si="2" ref="N29:N36">G29</f>
        <v>370000</v>
      </c>
      <c r="O29" s="348"/>
      <c r="P29" s="57"/>
      <c r="Q29" s="70"/>
      <c r="R29" s="70"/>
      <c r="S29" s="70"/>
      <c r="T29" s="70"/>
    </row>
    <row r="30" spans="1:20" s="2" customFormat="1" ht="12.75" customHeight="1">
      <c r="A30" s="124"/>
      <c r="B30" s="518" t="s">
        <v>242</v>
      </c>
      <c r="C30" s="430"/>
      <c r="D30" s="404"/>
      <c r="E30" s="398"/>
      <c r="F30" s="398"/>
      <c r="G30" s="400">
        <v>500000</v>
      </c>
      <c r="H30" s="4"/>
      <c r="I30" s="53"/>
      <c r="J30" s="65"/>
      <c r="K30" s="65"/>
      <c r="L30" s="69"/>
      <c r="M30" s="357" t="s">
        <v>243</v>
      </c>
      <c r="N30" s="57">
        <f t="shared" si="2"/>
        <v>500000</v>
      </c>
      <c r="O30" s="348"/>
      <c r="P30" s="57">
        <v>250000</v>
      </c>
      <c r="Q30" s="70"/>
      <c r="R30" s="70"/>
      <c r="S30" s="70"/>
      <c r="T30" s="70"/>
    </row>
    <row r="31" spans="1:20" s="2" customFormat="1" ht="12.75" customHeight="1">
      <c r="A31" s="124"/>
      <c r="B31" s="518" t="s">
        <v>245</v>
      </c>
      <c r="C31" s="430"/>
      <c r="D31" s="404"/>
      <c r="E31" s="398"/>
      <c r="F31" s="398"/>
      <c r="G31" s="400">
        <v>375000</v>
      </c>
      <c r="H31" s="4"/>
      <c r="I31" s="53"/>
      <c r="J31" s="65"/>
      <c r="K31" s="65"/>
      <c r="L31" s="69"/>
      <c r="M31" s="357" t="s">
        <v>244</v>
      </c>
      <c r="N31" s="57">
        <f t="shared" si="2"/>
        <v>375000</v>
      </c>
      <c r="O31" s="348"/>
      <c r="P31" s="57">
        <v>250000</v>
      </c>
      <c r="Q31" s="70"/>
      <c r="R31" s="70"/>
      <c r="S31" s="70"/>
      <c r="T31" s="70"/>
    </row>
    <row r="32" spans="1:20" s="2" customFormat="1" ht="12.75" customHeight="1">
      <c r="A32" s="124">
        <v>1328</v>
      </c>
      <c r="B32" s="518" t="s">
        <v>44</v>
      </c>
      <c r="C32" s="430">
        <v>20000</v>
      </c>
      <c r="D32" s="404">
        <f t="shared" si="0"/>
        <v>20000</v>
      </c>
      <c r="E32" s="398">
        <v>36664</v>
      </c>
      <c r="F32" s="398">
        <v>38000</v>
      </c>
      <c r="G32" s="400">
        <v>44000</v>
      </c>
      <c r="H32" s="4"/>
      <c r="I32" s="53"/>
      <c r="J32" s="65"/>
      <c r="K32" s="65"/>
      <c r="L32" s="69"/>
      <c r="M32" s="357" t="s">
        <v>246</v>
      </c>
      <c r="N32" s="57">
        <f t="shared" si="2"/>
        <v>44000</v>
      </c>
      <c r="O32" s="348"/>
      <c r="P32" s="57">
        <v>24000</v>
      </c>
      <c r="Q32" s="70"/>
      <c r="R32" s="70"/>
      <c r="S32" s="70"/>
      <c r="T32" s="70"/>
    </row>
    <row r="33" spans="1:20" s="2" customFormat="1" ht="12.75" customHeight="1">
      <c r="A33" s="124">
        <v>1316</v>
      </c>
      <c r="B33" s="518" t="s">
        <v>220</v>
      </c>
      <c r="C33" s="430">
        <v>60000</v>
      </c>
      <c r="D33" s="404">
        <f t="shared" si="0"/>
        <v>60000</v>
      </c>
      <c r="E33" s="398">
        <v>148949</v>
      </c>
      <c r="F33" s="398">
        <v>150000</v>
      </c>
      <c r="G33" s="400">
        <v>50000</v>
      </c>
      <c r="H33" s="4"/>
      <c r="I33" s="53"/>
      <c r="J33" s="65"/>
      <c r="K33" s="65"/>
      <c r="L33" s="69"/>
      <c r="M33" s="357" t="s">
        <v>247</v>
      </c>
      <c r="N33" s="57">
        <f t="shared" si="2"/>
        <v>50000</v>
      </c>
      <c r="O33" s="348"/>
      <c r="P33" s="57">
        <v>20000</v>
      </c>
      <c r="Q33" s="70"/>
      <c r="R33" s="70"/>
      <c r="S33" s="70"/>
      <c r="T33" s="70"/>
    </row>
    <row r="34" spans="1:20" s="2" customFormat="1" ht="12.75" customHeight="1">
      <c r="A34" s="124">
        <v>1208</v>
      </c>
      <c r="B34" s="518" t="s">
        <v>180</v>
      </c>
      <c r="C34" s="430">
        <v>50000</v>
      </c>
      <c r="D34" s="404">
        <f t="shared" si="0"/>
        <v>50000</v>
      </c>
      <c r="E34" s="398">
        <v>145055</v>
      </c>
      <c r="F34" s="398">
        <v>183500</v>
      </c>
      <c r="G34" s="400">
        <v>140000</v>
      </c>
      <c r="H34" s="4"/>
      <c r="I34" s="53"/>
      <c r="J34" s="65"/>
      <c r="K34" s="65"/>
      <c r="L34" s="69"/>
      <c r="M34" s="357" t="s">
        <v>249</v>
      </c>
      <c r="N34" s="57">
        <f t="shared" si="2"/>
        <v>140000</v>
      </c>
      <c r="O34" s="348"/>
      <c r="P34" s="57">
        <v>90000</v>
      </c>
      <c r="Q34" s="70"/>
      <c r="R34" s="70"/>
      <c r="S34" s="70"/>
      <c r="T34" s="70"/>
    </row>
    <row r="35" spans="1:20" s="2" customFormat="1" ht="12.75" customHeight="1">
      <c r="A35" s="124"/>
      <c r="B35" s="518" t="s">
        <v>221</v>
      </c>
      <c r="C35" s="430"/>
      <c r="D35" s="404"/>
      <c r="E35" s="398"/>
      <c r="F35" s="398"/>
      <c r="G35" s="400">
        <v>95000</v>
      </c>
      <c r="H35" s="4"/>
      <c r="I35" s="53"/>
      <c r="J35" s="65"/>
      <c r="K35" s="65"/>
      <c r="L35" s="69"/>
      <c r="M35" s="357" t="s">
        <v>250</v>
      </c>
      <c r="N35" s="57">
        <f t="shared" si="2"/>
        <v>95000</v>
      </c>
      <c r="O35" s="348"/>
      <c r="P35" s="57">
        <v>45000</v>
      </c>
      <c r="Q35" s="70"/>
      <c r="R35" s="70"/>
      <c r="S35" s="70"/>
      <c r="T35" s="70"/>
    </row>
    <row r="36" spans="1:20" s="2" customFormat="1" ht="12.75" customHeight="1">
      <c r="A36" s="124">
        <v>1321</v>
      </c>
      <c r="B36" s="518" t="s">
        <v>181</v>
      </c>
      <c r="C36" s="430">
        <v>15000</v>
      </c>
      <c r="D36" s="404">
        <f t="shared" si="0"/>
        <v>15000</v>
      </c>
      <c r="E36" s="398">
        <v>15013</v>
      </c>
      <c r="F36" s="398">
        <v>16000</v>
      </c>
      <c r="G36" s="400">
        <v>15000</v>
      </c>
      <c r="H36" s="4"/>
      <c r="I36" s="53"/>
      <c r="J36" s="65"/>
      <c r="K36" s="65"/>
      <c r="L36" s="69"/>
      <c r="M36" s="357" t="s">
        <v>248</v>
      </c>
      <c r="N36" s="57">
        <f t="shared" si="2"/>
        <v>15000</v>
      </c>
      <c r="O36" s="348"/>
      <c r="P36" s="57"/>
      <c r="Q36" s="70"/>
      <c r="R36" s="70"/>
      <c r="S36" s="70"/>
      <c r="T36" s="70"/>
    </row>
    <row r="37" spans="1:20" s="2" customFormat="1" ht="12.75" customHeight="1">
      <c r="A37" s="124">
        <v>1304</v>
      </c>
      <c r="B37" s="518" t="s">
        <v>45</v>
      </c>
      <c r="C37" s="430">
        <v>20000</v>
      </c>
      <c r="D37" s="404">
        <f t="shared" si="0"/>
        <v>20000</v>
      </c>
      <c r="E37" s="398">
        <v>9000</v>
      </c>
      <c r="F37" s="398">
        <v>20000</v>
      </c>
      <c r="G37" s="400"/>
      <c r="H37" s="4"/>
      <c r="I37" s="53"/>
      <c r="J37" s="65"/>
      <c r="K37" s="65"/>
      <c r="L37" s="69"/>
      <c r="M37" s="357"/>
      <c r="N37" s="57"/>
      <c r="O37" s="348"/>
      <c r="P37" s="57"/>
      <c r="Q37" s="70"/>
      <c r="R37" s="70"/>
      <c r="S37" s="70"/>
      <c r="T37" s="70"/>
    </row>
    <row r="38" spans="1:20" s="2" customFormat="1" ht="12.75" customHeight="1">
      <c r="A38" s="124">
        <v>1320</v>
      </c>
      <c r="B38" s="518" t="s">
        <v>182</v>
      </c>
      <c r="C38" s="430">
        <v>50000</v>
      </c>
      <c r="D38" s="404">
        <f t="shared" si="0"/>
        <v>50000</v>
      </c>
      <c r="E38" s="398">
        <v>5500</v>
      </c>
      <c r="F38" s="398">
        <v>85000</v>
      </c>
      <c r="G38" s="400">
        <v>80000</v>
      </c>
      <c r="H38" s="4"/>
      <c r="I38" s="53"/>
      <c r="J38" s="65"/>
      <c r="K38" s="65"/>
      <c r="L38" s="69"/>
      <c r="M38" s="357" t="s">
        <v>251</v>
      </c>
      <c r="N38" s="57">
        <f>G38</f>
        <v>80000</v>
      </c>
      <c r="O38" s="348"/>
      <c r="P38" s="57">
        <v>30000</v>
      </c>
      <c r="Q38" s="70"/>
      <c r="R38" s="70"/>
      <c r="S38" s="70"/>
      <c r="T38" s="70"/>
    </row>
    <row r="39" spans="1:20" s="2" customFormat="1" ht="12.75" customHeight="1">
      <c r="A39" s="124"/>
      <c r="B39" s="535" t="s">
        <v>183</v>
      </c>
      <c r="C39" s="429"/>
      <c r="D39" s="405">
        <v>10000</v>
      </c>
      <c r="E39" s="406"/>
      <c r="F39" s="406">
        <v>10000</v>
      </c>
      <c r="G39" s="400"/>
      <c r="H39" s="4"/>
      <c r="I39" s="53"/>
      <c r="J39" s="65"/>
      <c r="K39" s="65"/>
      <c r="L39" s="69"/>
      <c r="M39" s="357"/>
      <c r="N39" s="57"/>
      <c r="O39" s="348"/>
      <c r="P39" s="57"/>
      <c r="Q39" s="70"/>
      <c r="R39" s="70"/>
      <c r="S39" s="70"/>
      <c r="T39" s="70"/>
    </row>
    <row r="40" spans="1:20" s="2" customFormat="1" ht="12.75" customHeight="1">
      <c r="A40" s="124">
        <v>1305</v>
      </c>
      <c r="B40" s="518" t="s">
        <v>222</v>
      </c>
      <c r="C40" s="430">
        <v>20000</v>
      </c>
      <c r="D40" s="404">
        <f t="shared" si="0"/>
        <v>20000</v>
      </c>
      <c r="E40" s="398">
        <v>19921</v>
      </c>
      <c r="F40" s="398">
        <v>20000</v>
      </c>
      <c r="G40" s="400">
        <v>20000</v>
      </c>
      <c r="H40" s="4"/>
      <c r="I40" s="53"/>
      <c r="J40" s="65"/>
      <c r="K40" s="65"/>
      <c r="L40" s="69"/>
      <c r="M40" s="357" t="s">
        <v>146</v>
      </c>
      <c r="N40" s="57">
        <f>G40</f>
        <v>20000</v>
      </c>
      <c r="O40" s="348"/>
      <c r="P40" s="57"/>
      <c r="Q40" s="70"/>
      <c r="R40" s="70"/>
      <c r="S40" s="70"/>
      <c r="T40" s="70"/>
    </row>
    <row r="41" spans="1:20" s="2" customFormat="1" ht="12.75" customHeight="1">
      <c r="A41" s="124">
        <v>1905</v>
      </c>
      <c r="B41" s="535" t="s">
        <v>186</v>
      </c>
      <c r="C41" s="429"/>
      <c r="D41" s="405" t="s">
        <v>173</v>
      </c>
      <c r="E41" s="406"/>
      <c r="F41" s="406">
        <v>40000</v>
      </c>
      <c r="G41" s="400">
        <v>40000</v>
      </c>
      <c r="H41" s="4"/>
      <c r="I41" s="53"/>
      <c r="J41" s="65"/>
      <c r="K41" s="65"/>
      <c r="L41" s="69"/>
      <c r="M41" s="357"/>
      <c r="N41" s="57"/>
      <c r="O41" s="348"/>
      <c r="P41" s="57"/>
      <c r="Q41" s="70"/>
      <c r="R41" s="70"/>
      <c r="S41" s="70"/>
      <c r="T41" s="70"/>
    </row>
    <row r="42" spans="1:20" s="2" customFormat="1" ht="12.75" customHeight="1">
      <c r="A42" s="124"/>
      <c r="B42" s="535" t="s">
        <v>187</v>
      </c>
      <c r="C42" s="429"/>
      <c r="D42" s="405"/>
      <c r="E42" s="406"/>
      <c r="F42" s="406">
        <f>77501+5200+4000</f>
        <v>86701</v>
      </c>
      <c r="G42" s="400"/>
      <c r="H42" s="4"/>
      <c r="I42" s="53"/>
      <c r="J42" s="65"/>
      <c r="K42" s="65"/>
      <c r="L42" s="69"/>
      <c r="M42" s="357"/>
      <c r="N42" s="57"/>
      <c r="O42" s="348"/>
      <c r="P42" s="57"/>
      <c r="Q42" s="70"/>
      <c r="R42" s="70"/>
      <c r="S42" s="70"/>
      <c r="T42" s="70"/>
    </row>
    <row r="43" spans="1:20" s="2" customFormat="1" ht="12.75" customHeight="1">
      <c r="A43" s="124"/>
      <c r="B43" s="535" t="s">
        <v>254</v>
      </c>
      <c r="C43" s="429"/>
      <c r="D43" s="405"/>
      <c r="E43" s="406"/>
      <c r="F43" s="406"/>
      <c r="G43" s="400">
        <v>90000</v>
      </c>
      <c r="H43" s="4"/>
      <c r="I43" s="53"/>
      <c r="J43" s="65"/>
      <c r="K43" s="65"/>
      <c r="L43" s="69"/>
      <c r="M43" s="357" t="s">
        <v>255</v>
      </c>
      <c r="N43" s="57">
        <f>G43</f>
        <v>90000</v>
      </c>
      <c r="O43" s="348"/>
      <c r="P43" s="57"/>
      <c r="Q43" s="70"/>
      <c r="R43" s="70"/>
      <c r="S43" s="70"/>
      <c r="T43" s="70"/>
    </row>
    <row r="44" spans="1:20" s="2" customFormat="1" ht="12.75" customHeight="1">
      <c r="A44" s="124"/>
      <c r="B44" s="535" t="s">
        <v>257</v>
      </c>
      <c r="C44" s="429"/>
      <c r="D44" s="405"/>
      <c r="E44" s="406"/>
      <c r="F44" s="406"/>
      <c r="G44" s="400">
        <v>20000</v>
      </c>
      <c r="H44" s="4"/>
      <c r="I44" s="53"/>
      <c r="J44" s="65"/>
      <c r="K44" s="65"/>
      <c r="L44" s="69"/>
      <c r="M44" s="357" t="s">
        <v>258</v>
      </c>
      <c r="N44" s="57">
        <f>G44</f>
        <v>20000</v>
      </c>
      <c r="O44" s="348"/>
      <c r="P44" s="57"/>
      <c r="Q44" s="70"/>
      <c r="R44" s="70"/>
      <c r="S44" s="70"/>
      <c r="T44" s="70"/>
    </row>
    <row r="45" spans="1:20" s="2" customFormat="1" ht="12.75" customHeight="1">
      <c r="A45" s="124"/>
      <c r="B45" s="535" t="s">
        <v>259</v>
      </c>
      <c r="C45" s="429"/>
      <c r="D45" s="405"/>
      <c r="E45" s="406"/>
      <c r="F45" s="406"/>
      <c r="G45" s="400">
        <v>30000</v>
      </c>
      <c r="H45" s="4"/>
      <c r="I45" s="53"/>
      <c r="J45" s="65"/>
      <c r="K45" s="65"/>
      <c r="L45" s="69"/>
      <c r="M45" s="357" t="s">
        <v>260</v>
      </c>
      <c r="N45" s="57">
        <f>G45</f>
        <v>30000</v>
      </c>
      <c r="O45" s="348"/>
      <c r="P45" s="57"/>
      <c r="Q45" s="70"/>
      <c r="R45" s="70"/>
      <c r="S45" s="70"/>
      <c r="T45" s="70"/>
    </row>
    <row r="46" spans="1:20" s="2" customFormat="1" ht="12.75" customHeight="1">
      <c r="A46" s="124"/>
      <c r="B46" s="518" t="s">
        <v>225</v>
      </c>
      <c r="C46" s="430"/>
      <c r="D46" s="404"/>
      <c r="E46" s="398"/>
      <c r="F46" s="398"/>
      <c r="G46" s="400">
        <v>20000</v>
      </c>
      <c r="H46" s="4"/>
      <c r="I46" s="53"/>
      <c r="J46" s="65"/>
      <c r="K46" s="65"/>
      <c r="L46" s="69"/>
      <c r="M46" s="357" t="s">
        <v>261</v>
      </c>
      <c r="N46" s="57">
        <f>G46</f>
        <v>20000</v>
      </c>
      <c r="O46" s="57"/>
      <c r="P46" s="57"/>
      <c r="Q46" s="70"/>
      <c r="R46" s="70"/>
      <c r="S46" s="70"/>
      <c r="T46" s="70"/>
    </row>
    <row r="47" spans="1:20" s="2" customFormat="1" ht="12.75" customHeight="1">
      <c r="A47" s="124"/>
      <c r="B47" s="518" t="s">
        <v>226</v>
      </c>
      <c r="C47" s="430"/>
      <c r="D47" s="404"/>
      <c r="E47" s="398"/>
      <c r="F47" s="398"/>
      <c r="G47" s="400">
        <v>128000</v>
      </c>
      <c r="H47" s="4"/>
      <c r="I47" s="53"/>
      <c r="J47" s="65"/>
      <c r="K47" s="65"/>
      <c r="L47" s="69"/>
      <c r="M47" s="357" t="s">
        <v>262</v>
      </c>
      <c r="N47" s="57">
        <f>G47</f>
        <v>128000</v>
      </c>
      <c r="O47" s="57"/>
      <c r="P47" s="57"/>
      <c r="Q47" s="70"/>
      <c r="R47" s="70"/>
      <c r="S47" s="70"/>
      <c r="T47" s="70"/>
    </row>
    <row r="48" spans="1:20" s="2" customFormat="1" ht="12.75" customHeight="1">
      <c r="A48" s="124"/>
      <c r="B48" s="518" t="s">
        <v>184</v>
      </c>
      <c r="C48" s="430"/>
      <c r="D48" s="404"/>
      <c r="E48" s="398">
        <v>57000</v>
      </c>
      <c r="F48" s="398">
        <v>207000</v>
      </c>
      <c r="G48" s="400"/>
      <c r="H48" s="4"/>
      <c r="I48" s="53"/>
      <c r="J48" s="65"/>
      <c r="K48" s="65"/>
      <c r="L48" s="69"/>
      <c r="M48" s="357"/>
      <c r="N48" s="57"/>
      <c r="O48" s="57"/>
      <c r="P48" s="57"/>
      <c r="Q48" s="70"/>
      <c r="R48" s="70"/>
      <c r="S48" s="70"/>
      <c r="T48" s="70"/>
    </row>
    <row r="49" spans="1:20" s="2" customFormat="1" ht="12.75" customHeight="1">
      <c r="A49" s="124"/>
      <c r="B49" s="518" t="s">
        <v>185</v>
      </c>
      <c r="C49" s="430"/>
      <c r="D49" s="404"/>
      <c r="E49" s="398">
        <v>393700</v>
      </c>
      <c r="F49" s="398">
        <v>131000</v>
      </c>
      <c r="G49" s="400"/>
      <c r="H49" s="4"/>
      <c r="I49" s="53"/>
      <c r="J49" s="65"/>
      <c r="K49" s="65"/>
      <c r="L49" s="69"/>
      <c r="M49" s="357"/>
      <c r="N49" s="57"/>
      <c r="O49" s="57"/>
      <c r="P49" s="57"/>
      <c r="Q49" s="70"/>
      <c r="R49" s="70"/>
      <c r="S49" s="70"/>
      <c r="T49" s="70"/>
    </row>
    <row r="50" spans="1:20" s="2" customFormat="1" ht="12.75" customHeight="1">
      <c r="A50" s="124"/>
      <c r="B50" s="518" t="s">
        <v>188</v>
      </c>
      <c r="C50" s="430">
        <v>30262</v>
      </c>
      <c r="D50" s="404">
        <f t="shared" si="0"/>
        <v>30262</v>
      </c>
      <c r="E50" s="398"/>
      <c r="F50" s="406">
        <v>18490</v>
      </c>
      <c r="G50" s="400"/>
      <c r="H50" s="4"/>
      <c r="I50" s="53"/>
      <c r="J50" s="65"/>
      <c r="K50" s="65"/>
      <c r="L50" s="69"/>
      <c r="M50" s="357"/>
      <c r="N50" s="57"/>
      <c r="O50" s="57"/>
      <c r="P50" s="57"/>
      <c r="Q50" s="70"/>
      <c r="R50" s="70"/>
      <c r="S50" s="70"/>
      <c r="T50" s="70"/>
    </row>
    <row r="51" spans="1:20" s="2" customFormat="1" ht="12.75" customHeight="1">
      <c r="A51" s="124"/>
      <c r="B51" s="518" t="s">
        <v>189</v>
      </c>
      <c r="C51" s="431">
        <v>162594</v>
      </c>
      <c r="D51" s="404">
        <f t="shared" si="0"/>
        <v>162594</v>
      </c>
      <c r="E51" s="398"/>
      <c r="F51" s="406">
        <v>158546</v>
      </c>
      <c r="G51" s="400"/>
      <c r="H51" s="4"/>
      <c r="I51" s="53"/>
      <c r="J51" s="65"/>
      <c r="K51" s="65"/>
      <c r="L51" s="69"/>
      <c r="M51" s="357"/>
      <c r="N51" s="57"/>
      <c r="O51" s="57"/>
      <c r="P51" s="57"/>
      <c r="Q51" s="70"/>
      <c r="R51" s="70"/>
      <c r="S51" s="70"/>
      <c r="T51" s="70"/>
    </row>
    <row r="52" spans="1:20" s="2" customFormat="1" ht="12.75" customHeight="1" thickBot="1">
      <c r="A52" s="124"/>
      <c r="B52" s="536" t="s">
        <v>157</v>
      </c>
      <c r="C52" s="432">
        <v>727935</v>
      </c>
      <c r="D52" s="407">
        <f t="shared" si="0"/>
        <v>727935</v>
      </c>
      <c r="E52" s="408">
        <v>710944</v>
      </c>
      <c r="F52" s="408">
        <v>727935</v>
      </c>
      <c r="G52" s="409">
        <v>819878</v>
      </c>
      <c r="H52" s="4"/>
      <c r="I52" s="26"/>
      <c r="J52" s="81"/>
      <c r="K52" s="81"/>
      <c r="L52" s="69"/>
      <c r="M52" s="359" t="s">
        <v>293</v>
      </c>
      <c r="N52" s="57"/>
      <c r="O52" s="57"/>
      <c r="P52" s="57"/>
      <c r="Q52" s="70"/>
      <c r="R52" s="70"/>
      <c r="S52" s="70"/>
      <c r="T52" s="70"/>
    </row>
    <row r="53" spans="1:16" s="11" customFormat="1" ht="14.25" thickBot="1">
      <c r="A53" s="124"/>
      <c r="B53" s="434" t="s">
        <v>2</v>
      </c>
      <c r="C53" s="433">
        <f>SUM(C7:C52)</f>
        <v>12493975</v>
      </c>
      <c r="D53" s="44">
        <f>SUM(D7:D52)</f>
        <v>12696542</v>
      </c>
      <c r="E53" s="360">
        <f>SUM(E7:E52)</f>
        <v>12469547</v>
      </c>
      <c r="F53" s="360">
        <f>SUM(F7:F52)</f>
        <v>13397425</v>
      </c>
      <c r="G53" s="425">
        <f>SUM(G7:G52)</f>
        <v>14693651</v>
      </c>
      <c r="H53" s="5"/>
      <c r="I53" s="56"/>
      <c r="J53" s="82"/>
      <c r="K53" s="82"/>
      <c r="L53" s="83"/>
      <c r="M53" s="124"/>
      <c r="N53" s="512">
        <f>SUM(N12:N52)</f>
        <v>4565000</v>
      </c>
      <c r="O53" s="7"/>
      <c r="P53" s="512">
        <f>SUM(P12:P52)</f>
        <v>1222000</v>
      </c>
    </row>
    <row r="54" spans="1:19" ht="15.75" thickBot="1">
      <c r="A54" s="347"/>
      <c r="B54" s="361"/>
      <c r="C54" s="13"/>
      <c r="D54" s="22"/>
      <c r="E54" s="362"/>
      <c r="F54" s="362"/>
      <c r="G54" s="387"/>
      <c r="H54" s="4"/>
      <c r="I54" s="64"/>
      <c r="J54" s="65"/>
      <c r="K54" s="65"/>
      <c r="L54" s="33"/>
      <c r="N54" s="7"/>
      <c r="O54" s="7"/>
      <c r="P54" s="7"/>
      <c r="Q54" s="10"/>
      <c r="R54" s="10"/>
      <c r="S54" s="10"/>
    </row>
    <row r="55" spans="2:19" ht="15.75" thickBot="1">
      <c r="B55" s="363" t="s">
        <v>3</v>
      </c>
      <c r="C55" s="14"/>
      <c r="D55" s="22"/>
      <c r="E55" s="362"/>
      <c r="F55" s="362"/>
      <c r="G55" s="387"/>
      <c r="H55" s="14"/>
      <c r="I55" s="64"/>
      <c r="J55" s="65"/>
      <c r="K55" s="65"/>
      <c r="L55" s="33"/>
      <c r="N55" s="7"/>
      <c r="O55" s="7"/>
      <c r="P55" s="7"/>
      <c r="Q55" s="10"/>
      <c r="R55" s="5"/>
      <c r="S55" s="10"/>
    </row>
    <row r="56" spans="1:19" s="2" customFormat="1" ht="12.75" customHeight="1">
      <c r="A56" s="124"/>
      <c r="B56" s="525" t="s">
        <v>11</v>
      </c>
      <c r="C56" s="444">
        <v>2500000</v>
      </c>
      <c r="D56" s="436">
        <f>C56</f>
        <v>2500000</v>
      </c>
      <c r="E56" s="437">
        <v>2882256</v>
      </c>
      <c r="F56" s="437">
        <v>2500000</v>
      </c>
      <c r="G56" s="438">
        <f>F56*1.022</f>
        <v>2555000</v>
      </c>
      <c r="H56" s="26"/>
      <c r="I56" s="30"/>
      <c r="J56" s="65"/>
      <c r="K56" s="65"/>
      <c r="L56" s="69"/>
      <c r="M56" s="356"/>
      <c r="N56" s="57"/>
      <c r="O56" s="16"/>
      <c r="P56" s="57"/>
      <c r="Q56" s="69"/>
      <c r="R56" s="69"/>
      <c r="S56" s="69"/>
    </row>
    <row r="57" spans="1:19" s="2" customFormat="1" ht="12.75" customHeight="1">
      <c r="A57" s="124"/>
      <c r="B57" s="526" t="s">
        <v>227</v>
      </c>
      <c r="C57" s="426"/>
      <c r="D57" s="496"/>
      <c r="E57" s="411"/>
      <c r="F57" s="411"/>
      <c r="G57" s="396">
        <f>52500+11500+100000+20000+16000+12000+40000+260000+250000+250000+24000+20000+90000+45000+30000</f>
        <v>1221000</v>
      </c>
      <c r="H57" s="26"/>
      <c r="I57" s="30"/>
      <c r="J57" s="65"/>
      <c r="K57" s="65"/>
      <c r="L57" s="69"/>
      <c r="M57" s="414"/>
      <c r="N57" s="57"/>
      <c r="O57" s="16"/>
      <c r="P57" s="57"/>
      <c r="Q57" s="69"/>
      <c r="R57" s="69"/>
      <c r="S57" s="69"/>
    </row>
    <row r="58" spans="1:19" s="2" customFormat="1" ht="12.75" customHeight="1">
      <c r="A58" s="124"/>
      <c r="B58" s="527" t="s">
        <v>190</v>
      </c>
      <c r="C58" s="427">
        <v>162594</v>
      </c>
      <c r="D58" s="439">
        <f>C58</f>
        <v>162594</v>
      </c>
      <c r="E58" s="398"/>
      <c r="F58" s="406">
        <v>158546</v>
      </c>
      <c r="G58" s="400"/>
      <c r="H58" s="26"/>
      <c r="I58" s="30"/>
      <c r="J58" s="65"/>
      <c r="K58" s="65"/>
      <c r="L58" s="69"/>
      <c r="M58" s="357"/>
      <c r="N58" s="57"/>
      <c r="O58" s="16"/>
      <c r="P58" s="57"/>
      <c r="Q58" s="69"/>
      <c r="R58" s="69"/>
      <c r="S58" s="69"/>
    </row>
    <row r="59" spans="1:19" s="2" customFormat="1" ht="12.75" customHeight="1">
      <c r="A59" s="124"/>
      <c r="B59" s="527" t="s">
        <v>12</v>
      </c>
      <c r="C59" s="427">
        <v>20000</v>
      </c>
      <c r="D59" s="439">
        <f>C59</f>
        <v>20000</v>
      </c>
      <c r="E59" s="398">
        <v>2635</v>
      </c>
      <c r="F59" s="398">
        <v>20000</v>
      </c>
      <c r="G59" s="400">
        <v>20500</v>
      </c>
      <c r="H59" s="26"/>
      <c r="I59" s="30"/>
      <c r="J59" s="65"/>
      <c r="K59" s="65"/>
      <c r="L59" s="69"/>
      <c r="M59" s="357"/>
      <c r="N59" s="57"/>
      <c r="O59" s="16" t="s">
        <v>263</v>
      </c>
      <c r="P59" s="57"/>
      <c r="Q59" s="69"/>
      <c r="R59" s="69"/>
      <c r="S59" s="69"/>
    </row>
    <row r="60" spans="1:19" s="2" customFormat="1" ht="12.75" customHeight="1">
      <c r="A60" s="124"/>
      <c r="B60" s="527" t="s">
        <v>266</v>
      </c>
      <c r="C60" s="430">
        <v>950000</v>
      </c>
      <c r="D60" s="439">
        <f>C60</f>
        <v>950000</v>
      </c>
      <c r="E60" s="398">
        <v>950000</v>
      </c>
      <c r="F60" s="398">
        <v>950000</v>
      </c>
      <c r="G60" s="400">
        <v>950000</v>
      </c>
      <c r="H60" s="53"/>
      <c r="I60" s="30"/>
      <c r="J60" s="65"/>
      <c r="K60" s="65"/>
      <c r="L60" s="69"/>
      <c r="M60" s="357"/>
      <c r="N60" s="57"/>
      <c r="O60" s="16">
        <f>G60</f>
        <v>950000</v>
      </c>
      <c r="P60" s="57"/>
      <c r="Q60" s="69"/>
      <c r="R60" s="69"/>
      <c r="S60" s="69"/>
    </row>
    <row r="61" spans="1:19" s="2" customFormat="1" ht="12.75" customHeight="1">
      <c r="A61" s="124"/>
      <c r="B61" s="528" t="s">
        <v>216</v>
      </c>
      <c r="C61" s="430"/>
      <c r="D61" s="439"/>
      <c r="E61" s="398"/>
      <c r="F61" s="398"/>
      <c r="G61" s="400">
        <v>50000</v>
      </c>
      <c r="H61" s="53"/>
      <c r="I61" s="30"/>
      <c r="J61" s="65"/>
      <c r="K61" s="65"/>
      <c r="L61" s="69"/>
      <c r="M61" s="357"/>
      <c r="N61" s="57"/>
      <c r="O61" s="16">
        <f>G61</f>
        <v>50000</v>
      </c>
      <c r="P61" s="57"/>
      <c r="Q61" s="69"/>
      <c r="R61" s="69"/>
      <c r="S61" s="69"/>
    </row>
    <row r="62" spans="1:19" s="2" customFormat="1" ht="12.75" customHeight="1">
      <c r="A62" s="124"/>
      <c r="B62" s="527" t="s">
        <v>4</v>
      </c>
      <c r="C62" s="430">
        <v>7365189</v>
      </c>
      <c r="D62" s="440">
        <v>7377756</v>
      </c>
      <c r="E62" s="398">
        <v>6381243</v>
      </c>
      <c r="F62" s="403">
        <v>7567796</v>
      </c>
      <c r="G62" s="504">
        <f>7566051+98100</f>
        <v>7664151</v>
      </c>
      <c r="H62" s="53"/>
      <c r="I62" s="30"/>
      <c r="J62" s="65"/>
      <c r="K62" s="65"/>
      <c r="L62" s="69"/>
      <c r="M62" s="357"/>
      <c r="N62" s="57"/>
      <c r="O62" s="16"/>
      <c r="P62" s="57"/>
      <c r="Q62" s="69"/>
      <c r="R62" s="69"/>
      <c r="S62" s="5"/>
    </row>
    <row r="63" spans="1:19" s="2" customFormat="1" ht="12.75" customHeight="1">
      <c r="A63" s="124"/>
      <c r="B63" s="527" t="s">
        <v>267</v>
      </c>
      <c r="C63" s="430">
        <v>402930</v>
      </c>
      <c r="D63" s="439">
        <f>C63</f>
        <v>402930</v>
      </c>
      <c r="E63" s="398">
        <v>340000</v>
      </c>
      <c r="F63" s="398">
        <v>402930</v>
      </c>
      <c r="G63" s="400">
        <v>495000</v>
      </c>
      <c r="H63" s="53"/>
      <c r="I63" s="30"/>
      <c r="J63" s="65"/>
      <c r="K63" s="65"/>
      <c r="L63" s="69"/>
      <c r="M63" s="357"/>
      <c r="N63" s="57"/>
      <c r="O63" s="16">
        <f>G63</f>
        <v>495000</v>
      </c>
      <c r="P63" s="57"/>
      <c r="Q63" s="69"/>
      <c r="R63" s="69"/>
      <c r="S63" s="69"/>
    </row>
    <row r="64" spans="1:19" s="2" customFormat="1" ht="12.75" customHeight="1">
      <c r="A64" s="124"/>
      <c r="B64" s="528" t="s">
        <v>191</v>
      </c>
      <c r="C64" s="430"/>
      <c r="D64" s="439"/>
      <c r="E64" s="398"/>
      <c r="F64" s="406">
        <v>177070</v>
      </c>
      <c r="G64" s="400"/>
      <c r="H64" s="53"/>
      <c r="I64" s="30"/>
      <c r="J64" s="65"/>
      <c r="K64" s="65"/>
      <c r="L64" s="69"/>
      <c r="M64" s="357"/>
      <c r="N64" s="57"/>
      <c r="O64" s="16"/>
      <c r="P64" s="57"/>
      <c r="Q64" s="69"/>
      <c r="R64" s="69"/>
      <c r="S64" s="69"/>
    </row>
    <row r="65" spans="1:19" s="2" customFormat="1" ht="12.75" customHeight="1">
      <c r="A65" s="124"/>
      <c r="B65" s="527" t="s">
        <v>192</v>
      </c>
      <c r="C65" s="430">
        <v>30262</v>
      </c>
      <c r="D65" s="439">
        <f>C65</f>
        <v>30262</v>
      </c>
      <c r="E65" s="398"/>
      <c r="F65" s="406">
        <f>F50</f>
        <v>18490</v>
      </c>
      <c r="G65" s="400"/>
      <c r="H65" s="53"/>
      <c r="I65" s="30"/>
      <c r="J65" s="65"/>
      <c r="K65" s="65"/>
      <c r="L65" s="69"/>
      <c r="M65" s="357"/>
      <c r="N65" s="57"/>
      <c r="O65" s="16"/>
      <c r="P65" s="57"/>
      <c r="Q65" s="69"/>
      <c r="R65" s="69"/>
      <c r="S65" s="69"/>
    </row>
    <row r="66" spans="1:19" s="2" customFormat="1" ht="12.75" customHeight="1">
      <c r="A66" s="124"/>
      <c r="B66" s="527" t="s">
        <v>296</v>
      </c>
      <c r="C66" s="430"/>
      <c r="D66" s="439"/>
      <c r="E66" s="398">
        <v>55000</v>
      </c>
      <c r="F66" s="398"/>
      <c r="G66" s="400"/>
      <c r="H66" s="53"/>
      <c r="I66" s="30"/>
      <c r="J66" s="65"/>
      <c r="K66" s="65"/>
      <c r="L66" s="69"/>
      <c r="M66" s="357"/>
      <c r="N66" s="57"/>
      <c r="O66" s="16"/>
      <c r="P66" s="57"/>
      <c r="Q66" s="69"/>
      <c r="R66" s="69"/>
      <c r="S66" s="69"/>
    </row>
    <row r="67" spans="1:16" s="2" customFormat="1" ht="12.75" customHeight="1">
      <c r="A67" s="124"/>
      <c r="B67" s="529" t="s">
        <v>268</v>
      </c>
      <c r="C67" s="445">
        <v>30000</v>
      </c>
      <c r="D67" s="439">
        <f>C67</f>
        <v>30000</v>
      </c>
      <c r="E67" s="398">
        <v>42000</v>
      </c>
      <c r="F67" s="398">
        <v>30000</v>
      </c>
      <c r="G67" s="400">
        <v>30000</v>
      </c>
      <c r="H67" s="53"/>
      <c r="I67" s="30"/>
      <c r="J67" s="65"/>
      <c r="K67" s="65"/>
      <c r="L67" s="69"/>
      <c r="M67" s="357"/>
      <c r="N67" s="57"/>
      <c r="O67" s="16">
        <f aca="true" t="shared" si="3" ref="O67:O93">G67</f>
        <v>30000</v>
      </c>
      <c r="P67" s="57"/>
    </row>
    <row r="68" spans="1:16" s="2" customFormat="1" ht="12.75" customHeight="1">
      <c r="A68" s="124"/>
      <c r="B68" s="529" t="s">
        <v>295</v>
      </c>
      <c r="C68" s="445"/>
      <c r="D68" s="439"/>
      <c r="E68" s="398">
        <v>30000</v>
      </c>
      <c r="F68" s="398"/>
      <c r="G68" s="400"/>
      <c r="H68" s="53"/>
      <c r="I68" s="30"/>
      <c r="J68" s="65"/>
      <c r="K68" s="65"/>
      <c r="L68" s="69"/>
      <c r="M68" s="357"/>
      <c r="N68" s="57"/>
      <c r="O68" s="16"/>
      <c r="P68" s="57"/>
    </row>
    <row r="69" spans="1:16" s="2" customFormat="1" ht="12.75" customHeight="1">
      <c r="A69" s="124"/>
      <c r="B69" s="530" t="s">
        <v>269</v>
      </c>
      <c r="C69" s="430">
        <v>40000</v>
      </c>
      <c r="D69" s="439">
        <f>C69</f>
        <v>40000</v>
      </c>
      <c r="E69" s="398">
        <v>40000</v>
      </c>
      <c r="F69" s="398">
        <v>40000</v>
      </c>
      <c r="G69" s="400">
        <v>60000</v>
      </c>
      <c r="H69" s="26"/>
      <c r="I69" s="53"/>
      <c r="J69" s="65"/>
      <c r="K69" s="65"/>
      <c r="L69" s="69"/>
      <c r="M69" s="357" t="s">
        <v>217</v>
      </c>
      <c r="N69" s="57"/>
      <c r="O69" s="16">
        <f t="shared" si="3"/>
        <v>60000</v>
      </c>
      <c r="P69" s="57"/>
    </row>
    <row r="70" spans="1:16" s="2" customFormat="1" ht="12.75" customHeight="1">
      <c r="A70" s="124"/>
      <c r="B70" s="518" t="s">
        <v>265</v>
      </c>
      <c r="C70" s="430">
        <v>40000</v>
      </c>
      <c r="D70" s="439">
        <f>C70</f>
        <v>40000</v>
      </c>
      <c r="E70" s="398">
        <v>40000</v>
      </c>
      <c r="F70" s="398">
        <v>40000</v>
      </c>
      <c r="G70" s="400">
        <v>40000</v>
      </c>
      <c r="H70" s="26"/>
      <c r="I70" s="53"/>
      <c r="J70" s="65"/>
      <c r="K70" s="65"/>
      <c r="L70" s="69"/>
      <c r="M70" s="357"/>
      <c r="N70" s="57"/>
      <c r="O70" s="16">
        <f t="shared" si="3"/>
        <v>40000</v>
      </c>
      <c r="P70" s="57"/>
    </row>
    <row r="71" spans="1:16" s="2" customFormat="1" ht="12.75" customHeight="1">
      <c r="A71" s="124"/>
      <c r="B71" s="518" t="s">
        <v>270</v>
      </c>
      <c r="C71" s="430">
        <v>120000</v>
      </c>
      <c r="D71" s="439">
        <f>C71</f>
        <v>120000</v>
      </c>
      <c r="E71" s="398">
        <v>135000</v>
      </c>
      <c r="F71" s="398">
        <v>120000</v>
      </c>
      <c r="G71" s="400">
        <v>140000</v>
      </c>
      <c r="H71" s="26"/>
      <c r="I71" s="53"/>
      <c r="J71" s="65"/>
      <c r="K71" s="65"/>
      <c r="L71" s="69"/>
      <c r="M71" s="357"/>
      <c r="N71" s="57"/>
      <c r="O71" s="16">
        <f t="shared" si="3"/>
        <v>140000</v>
      </c>
      <c r="P71" s="57"/>
    </row>
    <row r="72" spans="1:16" s="2" customFormat="1" ht="12.75" customHeight="1">
      <c r="A72" s="124"/>
      <c r="B72" s="518" t="s">
        <v>271</v>
      </c>
      <c r="C72" s="430">
        <v>60000</v>
      </c>
      <c r="D72" s="439">
        <f>C72</f>
        <v>60000</v>
      </c>
      <c r="E72" s="398">
        <v>60000</v>
      </c>
      <c r="F72" s="398">
        <v>60000</v>
      </c>
      <c r="G72" s="400">
        <v>30000</v>
      </c>
      <c r="H72" s="26"/>
      <c r="I72" s="53"/>
      <c r="J72" s="65"/>
      <c r="K72" s="65"/>
      <c r="L72" s="69"/>
      <c r="M72" s="357"/>
      <c r="N72" s="57"/>
      <c r="O72" s="16">
        <f t="shared" si="3"/>
        <v>30000</v>
      </c>
      <c r="P72" s="57"/>
    </row>
    <row r="73" spans="1:16" s="2" customFormat="1" ht="12.75" customHeight="1">
      <c r="A73" s="124"/>
      <c r="B73" s="518" t="s">
        <v>297</v>
      </c>
      <c r="C73" s="430"/>
      <c r="D73" s="439"/>
      <c r="E73" s="398">
        <v>20000</v>
      </c>
      <c r="F73" s="398"/>
      <c r="G73" s="400"/>
      <c r="H73" s="26"/>
      <c r="I73" s="53"/>
      <c r="J73" s="65"/>
      <c r="K73" s="65"/>
      <c r="L73" s="69"/>
      <c r="M73" s="357"/>
      <c r="N73" s="57"/>
      <c r="O73" s="16"/>
      <c r="P73" s="57"/>
    </row>
    <row r="74" spans="1:16" s="2" customFormat="1" ht="12.75" customHeight="1">
      <c r="A74" s="124"/>
      <c r="B74" s="518" t="s">
        <v>272</v>
      </c>
      <c r="C74" s="430">
        <v>15000</v>
      </c>
      <c r="D74" s="439">
        <f>C74</f>
        <v>15000</v>
      </c>
      <c r="E74" s="398">
        <v>15000</v>
      </c>
      <c r="F74" s="398">
        <v>15000</v>
      </c>
      <c r="G74" s="400">
        <v>15000</v>
      </c>
      <c r="H74" s="26"/>
      <c r="I74" s="53"/>
      <c r="J74" s="65"/>
      <c r="K74" s="65"/>
      <c r="L74" s="69"/>
      <c r="M74" s="357"/>
      <c r="N74" s="57"/>
      <c r="O74" s="16">
        <f t="shared" si="3"/>
        <v>15000</v>
      </c>
      <c r="P74" s="57"/>
    </row>
    <row r="75" spans="1:16" s="2" customFormat="1" ht="12.75" customHeight="1">
      <c r="A75" s="124"/>
      <c r="B75" s="518" t="s">
        <v>273</v>
      </c>
      <c r="C75" s="430"/>
      <c r="D75" s="439"/>
      <c r="E75" s="398">
        <v>45000</v>
      </c>
      <c r="F75" s="398"/>
      <c r="G75" s="400"/>
      <c r="H75" s="26"/>
      <c r="I75" s="53"/>
      <c r="J75" s="65"/>
      <c r="K75" s="65"/>
      <c r="L75" s="69"/>
      <c r="M75" s="357"/>
      <c r="N75" s="57"/>
      <c r="O75" s="16"/>
      <c r="P75" s="57"/>
    </row>
    <row r="76" spans="1:16" s="2" customFormat="1" ht="12.75" customHeight="1">
      <c r="A76" s="124"/>
      <c r="B76" s="518" t="s">
        <v>274</v>
      </c>
      <c r="C76" s="430">
        <v>50000</v>
      </c>
      <c r="D76" s="439">
        <f>C76</f>
        <v>50000</v>
      </c>
      <c r="E76" s="398">
        <v>20000</v>
      </c>
      <c r="F76" s="398">
        <v>50000</v>
      </c>
      <c r="G76" s="400">
        <v>50000</v>
      </c>
      <c r="H76" s="26"/>
      <c r="I76" s="53"/>
      <c r="J76" s="65"/>
      <c r="K76" s="65"/>
      <c r="L76" s="69"/>
      <c r="M76" s="357"/>
      <c r="N76" s="57"/>
      <c r="O76" s="16">
        <f t="shared" si="3"/>
        <v>50000</v>
      </c>
      <c r="P76" s="57"/>
    </row>
    <row r="77" spans="1:16" s="2" customFormat="1" ht="12.75" customHeight="1">
      <c r="A77" s="124"/>
      <c r="B77" s="518" t="s">
        <v>275</v>
      </c>
      <c r="C77" s="430">
        <v>30000</v>
      </c>
      <c r="D77" s="439">
        <f>C77</f>
        <v>30000</v>
      </c>
      <c r="E77" s="398">
        <v>30000</v>
      </c>
      <c r="F77" s="398">
        <v>30000</v>
      </c>
      <c r="G77" s="400">
        <v>30000</v>
      </c>
      <c r="H77" s="26"/>
      <c r="I77" s="53"/>
      <c r="J77" s="65"/>
      <c r="K77" s="65"/>
      <c r="L77" s="69"/>
      <c r="M77" s="357"/>
      <c r="N77" s="57"/>
      <c r="O77" s="16">
        <f t="shared" si="3"/>
        <v>30000</v>
      </c>
      <c r="P77" s="57"/>
    </row>
    <row r="78" spans="1:16" s="2" customFormat="1" ht="12.75" customHeight="1">
      <c r="A78" s="124"/>
      <c r="B78" s="518" t="s">
        <v>276</v>
      </c>
      <c r="C78" s="430">
        <v>80000</v>
      </c>
      <c r="D78" s="439">
        <f>C78</f>
        <v>80000</v>
      </c>
      <c r="E78" s="398">
        <v>75000</v>
      </c>
      <c r="F78" s="398">
        <v>80000</v>
      </c>
      <c r="G78" s="400">
        <v>80000</v>
      </c>
      <c r="H78" s="26"/>
      <c r="I78" s="53"/>
      <c r="J78" s="65"/>
      <c r="K78" s="65"/>
      <c r="L78" s="69"/>
      <c r="M78" s="357"/>
      <c r="N78" s="57"/>
      <c r="O78" s="16">
        <f t="shared" si="3"/>
        <v>80000</v>
      </c>
      <c r="P78" s="57"/>
    </row>
    <row r="79" spans="1:16" s="2" customFormat="1" ht="12.75" customHeight="1">
      <c r="A79" s="124"/>
      <c r="B79" s="518" t="s">
        <v>277</v>
      </c>
      <c r="C79" s="430">
        <v>50000</v>
      </c>
      <c r="D79" s="439">
        <f>C79</f>
        <v>50000</v>
      </c>
      <c r="E79" s="398"/>
      <c r="F79" s="398">
        <v>50000</v>
      </c>
      <c r="G79" s="400">
        <v>50000</v>
      </c>
      <c r="H79" s="26"/>
      <c r="I79" s="53"/>
      <c r="J79" s="65"/>
      <c r="K79" s="65"/>
      <c r="L79" s="69"/>
      <c r="M79" s="357"/>
      <c r="N79" s="57"/>
      <c r="O79" s="16">
        <f t="shared" si="3"/>
        <v>50000</v>
      </c>
      <c r="P79" s="57"/>
    </row>
    <row r="80" spans="1:16" s="2" customFormat="1" ht="12.75" customHeight="1">
      <c r="A80" s="124"/>
      <c r="B80" s="518" t="s">
        <v>278</v>
      </c>
      <c r="C80" s="430"/>
      <c r="D80" s="439"/>
      <c r="E80" s="398"/>
      <c r="F80" s="398"/>
      <c r="G80" s="400">
        <v>50000</v>
      </c>
      <c r="H80" s="26"/>
      <c r="I80" s="53"/>
      <c r="J80" s="65"/>
      <c r="K80" s="65"/>
      <c r="L80" s="69"/>
      <c r="M80" s="357"/>
      <c r="N80" s="57"/>
      <c r="O80" s="16">
        <f t="shared" si="3"/>
        <v>50000</v>
      </c>
      <c r="P80" s="57"/>
    </row>
    <row r="81" spans="1:16" s="2" customFormat="1" ht="12.75" customHeight="1">
      <c r="A81" s="124"/>
      <c r="B81" s="518" t="s">
        <v>279</v>
      </c>
      <c r="C81" s="430">
        <v>20000</v>
      </c>
      <c r="D81" s="439">
        <f>C81</f>
        <v>20000</v>
      </c>
      <c r="E81" s="398">
        <v>20000</v>
      </c>
      <c r="F81" s="398">
        <v>20000</v>
      </c>
      <c r="G81" s="400"/>
      <c r="H81" s="26"/>
      <c r="I81" s="53"/>
      <c r="J81" s="65"/>
      <c r="K81" s="65"/>
      <c r="L81" s="69"/>
      <c r="M81" s="357"/>
      <c r="N81" s="57"/>
      <c r="O81" s="16"/>
      <c r="P81" s="57"/>
    </row>
    <row r="82" spans="1:16" s="2" customFormat="1" ht="12.75" customHeight="1">
      <c r="A82" s="124"/>
      <c r="B82" s="518" t="s">
        <v>280</v>
      </c>
      <c r="C82" s="430">
        <v>370000</v>
      </c>
      <c r="D82" s="439">
        <f>C82</f>
        <v>370000</v>
      </c>
      <c r="E82" s="398">
        <v>207999</v>
      </c>
      <c r="F82" s="398">
        <v>370000</v>
      </c>
      <c r="G82" s="400">
        <v>370000</v>
      </c>
      <c r="H82" s="26"/>
      <c r="I82" s="53"/>
      <c r="J82" s="65"/>
      <c r="K82" s="65"/>
      <c r="L82" s="69"/>
      <c r="M82" s="357"/>
      <c r="N82" s="57"/>
      <c r="O82" s="16">
        <f t="shared" si="3"/>
        <v>370000</v>
      </c>
      <c r="P82" s="57"/>
    </row>
    <row r="83" spans="1:16" s="2" customFormat="1" ht="12.75" customHeight="1">
      <c r="A83" s="124"/>
      <c r="B83" s="518" t="s">
        <v>281</v>
      </c>
      <c r="C83" s="430">
        <v>20000</v>
      </c>
      <c r="D83" s="439">
        <f>C83</f>
        <v>20000</v>
      </c>
      <c r="E83" s="398">
        <v>8000</v>
      </c>
      <c r="F83" s="398">
        <v>20000</v>
      </c>
      <c r="G83" s="400">
        <v>20000</v>
      </c>
      <c r="H83" s="26"/>
      <c r="I83" s="53"/>
      <c r="J83" s="65"/>
      <c r="K83" s="65"/>
      <c r="L83" s="69"/>
      <c r="M83" s="357"/>
      <c r="N83" s="57"/>
      <c r="O83" s="16">
        <f t="shared" si="3"/>
        <v>20000</v>
      </c>
      <c r="P83" s="57"/>
    </row>
    <row r="84" spans="1:16" s="2" customFormat="1" ht="12.75" customHeight="1">
      <c r="A84" s="124"/>
      <c r="B84" s="518" t="s">
        <v>282</v>
      </c>
      <c r="C84" s="430">
        <v>50000</v>
      </c>
      <c r="D84" s="439">
        <f>C84</f>
        <v>50000</v>
      </c>
      <c r="E84" s="398">
        <v>12001</v>
      </c>
      <c r="F84" s="398">
        <v>50000</v>
      </c>
      <c r="G84" s="400">
        <v>50000</v>
      </c>
      <c r="H84" s="26"/>
      <c r="I84" s="53"/>
      <c r="J84" s="65"/>
      <c r="K84" s="65"/>
      <c r="L84" s="69"/>
      <c r="M84" s="357"/>
      <c r="N84" s="57"/>
      <c r="O84" s="16">
        <f t="shared" si="3"/>
        <v>50000</v>
      </c>
      <c r="P84" s="57"/>
    </row>
    <row r="85" spans="1:16" s="2" customFormat="1" ht="12.75" customHeight="1">
      <c r="A85" s="124"/>
      <c r="B85" s="518" t="s">
        <v>283</v>
      </c>
      <c r="C85" s="430">
        <v>20000</v>
      </c>
      <c r="D85" s="439">
        <f>C85</f>
        <v>20000</v>
      </c>
      <c r="E85" s="398">
        <v>20000</v>
      </c>
      <c r="F85" s="398">
        <v>20000</v>
      </c>
      <c r="G85" s="400">
        <v>20000</v>
      </c>
      <c r="H85" s="26"/>
      <c r="I85" s="53"/>
      <c r="J85" s="65"/>
      <c r="K85" s="65"/>
      <c r="L85" s="69"/>
      <c r="M85" s="357"/>
      <c r="N85" s="57"/>
      <c r="O85" s="16">
        <f t="shared" si="3"/>
        <v>20000</v>
      </c>
      <c r="P85" s="57"/>
    </row>
    <row r="86" spans="1:16" s="2" customFormat="1" ht="12.75" customHeight="1">
      <c r="A86" s="124"/>
      <c r="B86" s="528" t="s">
        <v>193</v>
      </c>
      <c r="C86" s="430"/>
      <c r="D86" s="439"/>
      <c r="E86" s="398"/>
      <c r="F86" s="406">
        <v>39593</v>
      </c>
      <c r="G86" s="400"/>
      <c r="H86" s="26"/>
      <c r="I86" s="53"/>
      <c r="J86" s="65"/>
      <c r="K86" s="65"/>
      <c r="L86" s="69"/>
      <c r="M86" s="357"/>
      <c r="N86" s="57"/>
      <c r="O86" s="16"/>
      <c r="P86" s="57"/>
    </row>
    <row r="87" spans="1:16" s="2" customFormat="1" ht="12.75" customHeight="1">
      <c r="A87" s="124"/>
      <c r="B87" s="528" t="s">
        <v>194</v>
      </c>
      <c r="C87" s="429"/>
      <c r="D87" s="405"/>
      <c r="E87" s="406"/>
      <c r="F87" s="406">
        <v>40000</v>
      </c>
      <c r="G87" s="400">
        <v>40000</v>
      </c>
      <c r="H87" s="26"/>
      <c r="I87" s="53"/>
      <c r="J87" s="65"/>
      <c r="K87" s="65"/>
      <c r="L87" s="69"/>
      <c r="M87" s="357"/>
      <c r="N87" s="57"/>
      <c r="O87" s="16"/>
      <c r="P87" s="57"/>
    </row>
    <row r="88" spans="1:16" s="2" customFormat="1" ht="12.75" customHeight="1">
      <c r="A88" s="124"/>
      <c r="B88" s="530" t="s">
        <v>284</v>
      </c>
      <c r="C88" s="429"/>
      <c r="D88" s="405"/>
      <c r="E88" s="406"/>
      <c r="F88" s="406"/>
      <c r="G88" s="400">
        <v>250000</v>
      </c>
      <c r="H88" s="26"/>
      <c r="I88" s="53"/>
      <c r="J88" s="65"/>
      <c r="K88" s="65"/>
      <c r="L88" s="69"/>
      <c r="M88" s="357"/>
      <c r="N88" s="57"/>
      <c r="O88" s="16">
        <f t="shared" si="3"/>
        <v>250000</v>
      </c>
      <c r="P88" s="57"/>
    </row>
    <row r="89" spans="1:16" s="2" customFormat="1" ht="12.75" customHeight="1">
      <c r="A89" s="124"/>
      <c r="B89" s="530" t="s">
        <v>256</v>
      </c>
      <c r="C89" s="429"/>
      <c r="D89" s="405"/>
      <c r="E89" s="406"/>
      <c r="F89" s="406"/>
      <c r="G89" s="400">
        <v>125000</v>
      </c>
      <c r="H89" s="26"/>
      <c r="I89" s="53"/>
      <c r="J89" s="65"/>
      <c r="K89" s="65"/>
      <c r="L89" s="69"/>
      <c r="M89" s="357"/>
      <c r="N89" s="57"/>
      <c r="O89" s="16">
        <f t="shared" si="3"/>
        <v>125000</v>
      </c>
      <c r="P89" s="57"/>
    </row>
    <row r="90" spans="1:16" s="2" customFormat="1" ht="12.75" customHeight="1">
      <c r="A90" s="124"/>
      <c r="B90" s="528" t="s">
        <v>285</v>
      </c>
      <c r="C90" s="429"/>
      <c r="D90" s="405"/>
      <c r="E90" s="406"/>
      <c r="F90" s="406"/>
      <c r="G90" s="400">
        <v>90000</v>
      </c>
      <c r="H90" s="26"/>
      <c r="I90" s="53"/>
      <c r="J90" s="65"/>
      <c r="K90" s="65"/>
      <c r="L90" s="69"/>
      <c r="M90" s="357"/>
      <c r="N90" s="57"/>
      <c r="O90" s="16">
        <f t="shared" si="3"/>
        <v>90000</v>
      </c>
      <c r="P90" s="57"/>
    </row>
    <row r="91" spans="1:16" s="2" customFormat="1" ht="12.75" customHeight="1">
      <c r="A91" s="124"/>
      <c r="B91" s="528" t="s">
        <v>286</v>
      </c>
      <c r="C91" s="429"/>
      <c r="D91" s="405"/>
      <c r="E91" s="406"/>
      <c r="F91" s="406"/>
      <c r="G91" s="400">
        <v>20000</v>
      </c>
      <c r="H91" s="26"/>
      <c r="I91" s="53"/>
      <c r="J91" s="65"/>
      <c r="K91" s="65"/>
      <c r="L91" s="69"/>
      <c r="M91" s="357"/>
      <c r="N91" s="57"/>
      <c r="O91" s="16">
        <f t="shared" si="3"/>
        <v>20000</v>
      </c>
      <c r="P91" s="57"/>
    </row>
    <row r="92" spans="1:16" s="2" customFormat="1" ht="12.75" customHeight="1">
      <c r="A92" s="124"/>
      <c r="B92" s="528" t="s">
        <v>287</v>
      </c>
      <c r="C92" s="429"/>
      <c r="D92" s="405"/>
      <c r="E92" s="406"/>
      <c r="F92" s="406"/>
      <c r="G92" s="400">
        <v>30000</v>
      </c>
      <c r="H92" s="26"/>
      <c r="I92" s="53"/>
      <c r="J92" s="65"/>
      <c r="K92" s="65"/>
      <c r="L92" s="69"/>
      <c r="M92" s="357"/>
      <c r="N92" s="57"/>
      <c r="O92" s="16">
        <f t="shared" si="3"/>
        <v>30000</v>
      </c>
      <c r="P92" s="57"/>
    </row>
    <row r="93" spans="1:16" s="2" customFormat="1" ht="12.75" customHeight="1">
      <c r="A93" s="124"/>
      <c r="B93" s="530" t="s">
        <v>288</v>
      </c>
      <c r="C93" s="430"/>
      <c r="D93" s="404"/>
      <c r="E93" s="398"/>
      <c r="F93" s="398"/>
      <c r="G93" s="400">
        <v>20000</v>
      </c>
      <c r="H93" s="4"/>
      <c r="I93" s="53"/>
      <c r="J93" s="65"/>
      <c r="K93" s="65"/>
      <c r="L93" s="69"/>
      <c r="M93" s="357"/>
      <c r="N93" s="57"/>
      <c r="O93" s="16">
        <f t="shared" si="3"/>
        <v>20000</v>
      </c>
      <c r="P93" s="57"/>
    </row>
    <row r="94" spans="1:16" s="2" customFormat="1" ht="12.75" customHeight="1">
      <c r="A94" s="124"/>
      <c r="B94" s="530" t="s">
        <v>226</v>
      </c>
      <c r="C94" s="430"/>
      <c r="D94" s="404"/>
      <c r="E94" s="398"/>
      <c r="F94" s="398"/>
      <c r="G94" s="400">
        <v>128000</v>
      </c>
      <c r="H94" s="4"/>
      <c r="I94" s="53"/>
      <c r="J94" s="65"/>
      <c r="K94" s="65"/>
      <c r="L94" s="69"/>
      <c r="M94" s="357" t="s">
        <v>294</v>
      </c>
      <c r="N94" s="57"/>
      <c r="O94" s="16"/>
      <c r="P94" s="57"/>
    </row>
    <row r="95" spans="1:16" s="2" customFormat="1" ht="12.75" customHeight="1">
      <c r="A95" s="124"/>
      <c r="B95" s="518" t="s">
        <v>195</v>
      </c>
      <c r="C95" s="430"/>
      <c r="D95" s="439"/>
      <c r="E95" s="398">
        <f>130000+90000+30000+100000+57000+393700+15000</f>
        <v>815700</v>
      </c>
      <c r="F95" s="406">
        <f>242500+95500</f>
        <v>338000</v>
      </c>
      <c r="G95" s="400"/>
      <c r="H95" s="26"/>
      <c r="I95" s="53"/>
      <c r="J95" s="65"/>
      <c r="K95" s="65"/>
      <c r="L95" s="69"/>
      <c r="M95" s="357"/>
      <c r="N95" s="57"/>
      <c r="O95" s="16"/>
      <c r="P95" s="57"/>
    </row>
    <row r="96" spans="1:16" s="2" customFormat="1" ht="12.75" customHeight="1">
      <c r="A96" s="124"/>
      <c r="B96" s="518" t="s">
        <v>196</v>
      </c>
      <c r="C96" s="430"/>
      <c r="D96" s="439"/>
      <c r="E96" s="398"/>
      <c r="F96" s="398">
        <v>0</v>
      </c>
      <c r="G96" s="400"/>
      <c r="H96" s="26"/>
      <c r="I96" s="53"/>
      <c r="J96" s="65"/>
      <c r="K96" s="65"/>
      <c r="L96" s="69"/>
      <c r="M96" s="357"/>
      <c r="N96" s="57"/>
      <c r="O96" s="16"/>
      <c r="P96" s="57"/>
    </row>
    <row r="97" spans="1:16" s="2" customFormat="1" ht="12.75" customHeight="1">
      <c r="A97" s="124"/>
      <c r="B97" s="528" t="s">
        <v>175</v>
      </c>
      <c r="C97" s="429"/>
      <c r="D97" s="441">
        <v>130000</v>
      </c>
      <c r="E97" s="406"/>
      <c r="F97" s="406">
        <v>130000</v>
      </c>
      <c r="G97" s="400"/>
      <c r="H97" s="26"/>
      <c r="I97" s="53"/>
      <c r="J97" s="65"/>
      <c r="K97" s="65"/>
      <c r="L97" s="69"/>
      <c r="M97" s="357"/>
      <c r="N97" s="57"/>
      <c r="O97" s="16"/>
      <c r="P97" s="57"/>
    </row>
    <row r="98" spans="1:16" s="2" customFormat="1" ht="12.75" customHeight="1">
      <c r="A98" s="124"/>
      <c r="B98" s="528" t="s">
        <v>183</v>
      </c>
      <c r="C98" s="429"/>
      <c r="D98" s="441">
        <v>10000</v>
      </c>
      <c r="E98" s="406"/>
      <c r="F98" s="406">
        <v>10000</v>
      </c>
      <c r="G98" s="400"/>
      <c r="H98" s="26"/>
      <c r="I98" s="53"/>
      <c r="J98" s="65"/>
      <c r="K98" s="65"/>
      <c r="L98" s="69"/>
      <c r="M98" s="357"/>
      <c r="N98" s="57"/>
      <c r="O98" s="16"/>
      <c r="P98" s="57"/>
    </row>
    <row r="99" spans="1:16" s="2" customFormat="1" ht="12.75" customHeight="1">
      <c r="A99" s="124"/>
      <c r="B99" s="528" t="s">
        <v>178</v>
      </c>
      <c r="C99" s="429"/>
      <c r="D99" s="441">
        <v>50000</v>
      </c>
      <c r="E99" s="406"/>
      <c r="F99" s="406">
        <v>50000</v>
      </c>
      <c r="G99" s="400"/>
      <c r="H99" s="26"/>
      <c r="I99" s="53"/>
      <c r="J99" s="65"/>
      <c r="K99" s="65"/>
      <c r="L99" s="69"/>
      <c r="M99" s="357"/>
      <c r="N99" s="57"/>
      <c r="O99" s="16"/>
      <c r="P99" s="57"/>
    </row>
    <row r="100" spans="1:16" s="108" customFormat="1" ht="12.75" customHeight="1" thickBot="1">
      <c r="A100" s="284"/>
      <c r="B100" s="531" t="s">
        <v>53</v>
      </c>
      <c r="C100" s="446">
        <v>68000</v>
      </c>
      <c r="D100" s="442">
        <f>C100</f>
        <v>68000</v>
      </c>
      <c r="E100" s="443">
        <v>68067</v>
      </c>
      <c r="F100" s="443">
        <v>0</v>
      </c>
      <c r="G100" s="409"/>
      <c r="H100" s="26"/>
      <c r="I100" s="53"/>
      <c r="J100" s="81"/>
      <c r="K100" s="81"/>
      <c r="L100" s="70"/>
      <c r="M100" s="364"/>
      <c r="N100" s="57"/>
      <c r="O100" s="16"/>
      <c r="P100" s="57"/>
    </row>
    <row r="101" spans="1:16" s="11" customFormat="1" ht="14.25" thickBot="1">
      <c r="A101" s="124"/>
      <c r="B101" s="447" t="s">
        <v>13</v>
      </c>
      <c r="C101" s="178">
        <f>SUM(C56:C100)</f>
        <v>12493975</v>
      </c>
      <c r="D101" s="435">
        <f>SUM(D56:D100)</f>
        <v>12696542</v>
      </c>
      <c r="E101" s="365">
        <f>SUM(E56:E100)</f>
        <v>12314901</v>
      </c>
      <c r="F101" s="365">
        <f>SUM(F56:F100)</f>
        <v>13397425</v>
      </c>
      <c r="G101" s="365">
        <f>SUM(G56:G100)</f>
        <v>14693651</v>
      </c>
      <c r="H101" s="56"/>
      <c r="I101" s="56"/>
      <c r="J101" s="82"/>
      <c r="K101" s="82"/>
      <c r="L101" s="83"/>
      <c r="M101" s="359"/>
      <c r="N101" s="52"/>
      <c r="O101" s="501">
        <f>SUM(O60:O100)</f>
        <v>3065000</v>
      </c>
      <c r="P101" s="134"/>
    </row>
    <row r="102" spans="1:16" s="11" customFormat="1" ht="9" customHeight="1" thickBot="1">
      <c r="A102" s="124"/>
      <c r="B102" s="327"/>
      <c r="C102" s="366"/>
      <c r="D102" s="5"/>
      <c r="E102" s="367"/>
      <c r="F102" s="367"/>
      <c r="G102" s="388"/>
      <c r="H102" s="56"/>
      <c r="I102" s="56"/>
      <c r="J102" s="82"/>
      <c r="K102" s="82"/>
      <c r="L102" s="83"/>
      <c r="M102" s="124"/>
      <c r="N102" s="52"/>
      <c r="O102" s="16"/>
      <c r="P102" s="134"/>
    </row>
    <row r="103" spans="1:16" s="11" customFormat="1" ht="15" thickBot="1" thickTop="1">
      <c r="A103" s="124"/>
      <c r="B103" s="340" t="s">
        <v>167</v>
      </c>
      <c r="C103" s="341"/>
      <c r="D103" s="343">
        <f>D101-D53</f>
        <v>0</v>
      </c>
      <c r="E103" s="343">
        <f>E101-E53</f>
        <v>-154646</v>
      </c>
      <c r="F103" s="343">
        <f>F101-F53</f>
        <v>0</v>
      </c>
      <c r="G103" s="343">
        <f>G101-G53</f>
        <v>0</v>
      </c>
      <c r="H103" s="56"/>
      <c r="I103" s="56"/>
      <c r="J103" s="82"/>
      <c r="K103" s="82"/>
      <c r="L103" s="83"/>
      <c r="M103" s="124"/>
      <c r="N103" s="52"/>
      <c r="O103" s="16"/>
      <c r="P103" s="134"/>
    </row>
    <row r="104" spans="2:16" ht="8.25" customHeight="1" thickTop="1">
      <c r="B104" s="67"/>
      <c r="C104" s="67"/>
      <c r="D104" s="67"/>
      <c r="E104" s="368"/>
      <c r="F104" s="368"/>
      <c r="O104" s="28"/>
      <c r="P104" s="134"/>
    </row>
    <row r="105" spans="2:16" ht="18" thickBot="1">
      <c r="B105" s="874" t="s">
        <v>14</v>
      </c>
      <c r="C105" s="874"/>
      <c r="D105" s="874"/>
      <c r="E105" s="874"/>
      <c r="F105" s="874"/>
      <c r="G105" s="874"/>
      <c r="H105" s="874"/>
      <c r="I105" s="874"/>
      <c r="O105" s="29"/>
      <c r="P105" s="134"/>
    </row>
    <row r="106" spans="2:16" ht="15">
      <c r="B106" s="454" t="s">
        <v>0</v>
      </c>
      <c r="C106" s="152" t="s">
        <v>17</v>
      </c>
      <c r="D106" s="38" t="s">
        <v>23</v>
      </c>
      <c r="E106" s="350" t="s">
        <v>137</v>
      </c>
      <c r="F106" s="350" t="s">
        <v>171</v>
      </c>
      <c r="G106" s="386" t="s">
        <v>165</v>
      </c>
      <c r="H106" s="9"/>
      <c r="I106" s="36"/>
      <c r="J106" s="1"/>
      <c r="K106" s="1"/>
      <c r="L106" s="41"/>
      <c r="M106" s="351" t="s">
        <v>136</v>
      </c>
      <c r="O106" s="135"/>
      <c r="P106" s="134"/>
    </row>
    <row r="107" spans="2:18" ht="15.75" thickBot="1">
      <c r="B107" s="455"/>
      <c r="C107" s="153" t="s">
        <v>22</v>
      </c>
      <c r="D107" s="39" t="s">
        <v>22</v>
      </c>
      <c r="E107" s="353">
        <v>2015</v>
      </c>
      <c r="F107" s="370" t="s">
        <v>172</v>
      </c>
      <c r="G107" s="395">
        <v>2017</v>
      </c>
      <c r="H107" s="9"/>
      <c r="I107" s="36"/>
      <c r="J107" s="1"/>
      <c r="K107" s="1"/>
      <c r="L107" s="41"/>
      <c r="M107" s="355"/>
      <c r="O107" s="29"/>
      <c r="P107" s="134"/>
      <c r="Q107" s="29"/>
      <c r="R107" s="29"/>
    </row>
    <row r="108" spans="1:18" s="2" customFormat="1" ht="12.75" customHeight="1">
      <c r="A108" s="124"/>
      <c r="B108" s="456" t="s">
        <v>71</v>
      </c>
      <c r="C108" s="452">
        <v>169000</v>
      </c>
      <c r="D108" s="448">
        <f>C108</f>
        <v>169000</v>
      </c>
      <c r="E108" s="437">
        <v>42335</v>
      </c>
      <c r="F108" s="437">
        <v>50000</v>
      </c>
      <c r="G108" s="438">
        <v>47100</v>
      </c>
      <c r="H108" s="4"/>
      <c r="I108" s="30"/>
      <c r="M108" s="356"/>
      <c r="O108" s="70"/>
      <c r="P108" s="134"/>
      <c r="Q108" s="70"/>
      <c r="R108" s="70"/>
    </row>
    <row r="109" spans="1:18" s="2" customFormat="1" ht="12.75" customHeight="1">
      <c r="A109" s="124"/>
      <c r="B109" s="457" t="s">
        <v>36</v>
      </c>
      <c r="C109" s="430"/>
      <c r="D109" s="449"/>
      <c r="E109" s="398">
        <v>20088</v>
      </c>
      <c r="F109" s="398">
        <v>11000</v>
      </c>
      <c r="G109" s="400">
        <v>17300</v>
      </c>
      <c r="H109" s="4"/>
      <c r="I109" s="30"/>
      <c r="M109" s="357"/>
      <c r="O109" s="70"/>
      <c r="P109" s="134"/>
      <c r="Q109" s="70"/>
      <c r="R109" s="70"/>
    </row>
    <row r="110" spans="1:18" s="2" customFormat="1" ht="12.75" customHeight="1">
      <c r="A110" s="124"/>
      <c r="B110" s="457" t="s">
        <v>37</v>
      </c>
      <c r="C110" s="430"/>
      <c r="D110" s="449"/>
      <c r="E110" s="398">
        <v>88894</v>
      </c>
      <c r="F110" s="398">
        <v>108000</v>
      </c>
      <c r="G110" s="400">
        <v>113300</v>
      </c>
      <c r="H110" s="4"/>
      <c r="I110" s="30"/>
      <c r="M110" s="358"/>
      <c r="O110" s="70"/>
      <c r="P110" s="134"/>
      <c r="Q110" s="70"/>
      <c r="R110" s="70"/>
    </row>
    <row r="111" spans="1:18" s="2" customFormat="1" ht="12.75" customHeight="1">
      <c r="A111" s="124"/>
      <c r="B111" s="458" t="s">
        <v>1</v>
      </c>
      <c r="C111" s="430">
        <v>25000</v>
      </c>
      <c r="D111" s="397">
        <f>C111</f>
        <v>25000</v>
      </c>
      <c r="E111" s="398">
        <v>0</v>
      </c>
      <c r="F111" s="398">
        <v>25000</v>
      </c>
      <c r="G111" s="400">
        <v>2500</v>
      </c>
      <c r="H111" s="4"/>
      <c r="I111" s="30"/>
      <c r="M111" s="357"/>
      <c r="O111" s="70"/>
      <c r="P111" s="134"/>
      <c r="Q111" s="70"/>
      <c r="R111" s="70"/>
    </row>
    <row r="112" spans="1:18" s="2" customFormat="1" ht="12.75" customHeight="1">
      <c r="A112" s="124"/>
      <c r="B112" s="458" t="s">
        <v>197</v>
      </c>
      <c r="C112" s="430"/>
      <c r="D112" s="450">
        <v>100000</v>
      </c>
      <c r="E112" s="398">
        <v>5857</v>
      </c>
      <c r="F112" s="401">
        <v>197958</v>
      </c>
      <c r="G112" s="400"/>
      <c r="H112" s="4"/>
      <c r="I112" s="30"/>
      <c r="M112" s="357"/>
      <c r="O112" s="70"/>
      <c r="P112" s="134"/>
      <c r="Q112" s="70"/>
      <c r="R112" s="70"/>
    </row>
    <row r="113" spans="1:18" s="2" customFormat="1" ht="12.75" customHeight="1">
      <c r="A113" s="124"/>
      <c r="B113" s="458" t="s">
        <v>198</v>
      </c>
      <c r="C113" s="430"/>
      <c r="D113" s="450"/>
      <c r="E113" s="398"/>
      <c r="F113" s="401">
        <v>12474</v>
      </c>
      <c r="G113" s="400">
        <v>24960</v>
      </c>
      <c r="H113" s="4"/>
      <c r="I113" s="30"/>
      <c r="M113" s="357"/>
      <c r="O113" s="70"/>
      <c r="P113" s="134"/>
      <c r="Q113" s="70"/>
      <c r="R113" s="70"/>
    </row>
    <row r="114" spans="1:18" s="2" customFormat="1" ht="12.75" customHeight="1">
      <c r="A114" s="124"/>
      <c r="B114" s="458" t="s">
        <v>8</v>
      </c>
      <c r="C114" s="430">
        <v>6000</v>
      </c>
      <c r="D114" s="397">
        <f>C114</f>
        <v>6000</v>
      </c>
      <c r="E114" s="398">
        <v>25</v>
      </c>
      <c r="F114" s="398">
        <v>6000</v>
      </c>
      <c r="G114" s="400">
        <v>6200</v>
      </c>
      <c r="H114" s="4"/>
      <c r="I114" s="26"/>
      <c r="M114" s="357"/>
      <c r="O114" s="70"/>
      <c r="P114" s="134"/>
      <c r="Q114" s="70"/>
      <c r="R114" s="70"/>
    </row>
    <row r="115" spans="1:18" s="2" customFormat="1" ht="12.75" customHeight="1">
      <c r="A115" s="124"/>
      <c r="B115" s="458" t="s">
        <v>16</v>
      </c>
      <c r="C115" s="430">
        <v>95000</v>
      </c>
      <c r="D115" s="450">
        <v>235800</v>
      </c>
      <c r="E115" s="398">
        <v>56433</v>
      </c>
      <c r="F115" s="398">
        <v>235800</v>
      </c>
      <c r="G115" s="400">
        <v>241000</v>
      </c>
      <c r="H115" s="4"/>
      <c r="I115" s="30"/>
      <c r="M115" s="357"/>
      <c r="O115" s="70"/>
      <c r="P115" s="134"/>
      <c r="Q115" s="70"/>
      <c r="R115" s="70"/>
    </row>
    <row r="116" spans="1:18" s="2" customFormat="1" ht="12.75" customHeight="1" thickBot="1">
      <c r="A116" s="124"/>
      <c r="B116" s="459" t="s">
        <v>10</v>
      </c>
      <c r="C116" s="453">
        <v>319340</v>
      </c>
      <c r="D116" s="451">
        <v>319826</v>
      </c>
      <c r="E116" s="408">
        <v>287854</v>
      </c>
      <c r="F116" s="408">
        <f>D116</f>
        <v>319826</v>
      </c>
      <c r="G116" s="409">
        <v>421581</v>
      </c>
      <c r="H116" s="4"/>
      <c r="I116" s="30"/>
      <c r="M116" s="359" t="s">
        <v>229</v>
      </c>
      <c r="N116" s="70"/>
      <c r="O116" s="70"/>
      <c r="P116" s="500"/>
      <c r="Q116" s="70"/>
      <c r="R116" s="70"/>
    </row>
    <row r="117" spans="1:18" s="11" customFormat="1" ht="14.25" thickBot="1">
      <c r="A117" s="124"/>
      <c r="B117" s="460" t="s">
        <v>2</v>
      </c>
      <c r="C117" s="373">
        <f>SUM(C108:C116)</f>
        <v>614340</v>
      </c>
      <c r="D117" s="371">
        <f>SUM(D108:D116)</f>
        <v>855626</v>
      </c>
      <c r="E117" s="360">
        <f>SUM(E108:E116)</f>
        <v>501486</v>
      </c>
      <c r="F117" s="372">
        <f>SUM(F108:F116)</f>
        <v>966058</v>
      </c>
      <c r="G117" s="384">
        <f>SUM(G108:G116)</f>
        <v>873941</v>
      </c>
      <c r="H117" s="56"/>
      <c r="I117" s="35"/>
      <c r="M117" s="124"/>
      <c r="N117" s="16"/>
      <c r="O117" s="52"/>
      <c r="P117" s="500"/>
      <c r="Q117" s="52"/>
      <c r="R117" s="52"/>
    </row>
    <row r="118" spans="2:18" ht="15.75" thickBot="1">
      <c r="B118" s="3"/>
      <c r="C118" s="17"/>
      <c r="D118" s="22"/>
      <c r="E118" s="362"/>
      <c r="F118" s="362"/>
      <c r="G118" s="390"/>
      <c r="H118" s="15"/>
      <c r="I118" s="18"/>
      <c r="N118" s="16"/>
      <c r="O118" s="29"/>
      <c r="Q118" s="29"/>
      <c r="R118" s="29"/>
    </row>
    <row r="119" spans="2:18" ht="16.5" thickBot="1">
      <c r="B119" s="89" t="s">
        <v>3</v>
      </c>
      <c r="C119" s="17"/>
      <c r="D119" s="22"/>
      <c r="E119" s="362"/>
      <c r="F119" s="362"/>
      <c r="G119" s="388"/>
      <c r="H119" s="32"/>
      <c r="I119" s="18"/>
      <c r="N119" s="16"/>
      <c r="O119" s="29"/>
      <c r="Q119" s="29"/>
      <c r="R119" s="29"/>
    </row>
    <row r="120" spans="2:18" ht="12.75" customHeight="1">
      <c r="B120" s="464" t="s">
        <v>11</v>
      </c>
      <c r="C120" s="452">
        <v>21000</v>
      </c>
      <c r="D120" s="448">
        <f>C120</f>
        <v>21000</v>
      </c>
      <c r="E120" s="437">
        <v>68390</v>
      </c>
      <c r="F120" s="437">
        <v>21000</v>
      </c>
      <c r="G120" s="438">
        <v>22000</v>
      </c>
      <c r="H120" s="30"/>
      <c r="I120" s="30"/>
      <c r="M120" s="356"/>
      <c r="N120" s="16"/>
      <c r="O120" s="29"/>
      <c r="Q120" s="29"/>
      <c r="R120" s="29"/>
    </row>
    <row r="121" spans="2:18" ht="12.75" customHeight="1">
      <c r="B121" s="465" t="s">
        <v>199</v>
      </c>
      <c r="C121" s="430"/>
      <c r="D121" s="397"/>
      <c r="E121" s="398"/>
      <c r="F121" s="401">
        <f>F113</f>
        <v>12474</v>
      </c>
      <c r="G121" s="400"/>
      <c r="H121" s="30"/>
      <c r="I121" s="30"/>
      <c r="M121" s="357"/>
      <c r="N121" s="16"/>
      <c r="O121" s="29"/>
      <c r="Q121" s="29"/>
      <c r="R121" s="29"/>
    </row>
    <row r="122" spans="2:18" ht="12.75" customHeight="1">
      <c r="B122" s="465" t="s">
        <v>200</v>
      </c>
      <c r="C122" s="430"/>
      <c r="D122" s="450">
        <v>100000</v>
      </c>
      <c r="E122" s="398"/>
      <c r="F122" s="401">
        <v>197958</v>
      </c>
      <c r="G122" s="400"/>
      <c r="H122" s="30"/>
      <c r="I122" s="30"/>
      <c r="M122" s="357"/>
      <c r="N122" s="16"/>
      <c r="O122" s="29"/>
      <c r="Q122" s="29"/>
      <c r="R122" s="29"/>
    </row>
    <row r="123" spans="2:18" ht="14.25" thickBot="1">
      <c r="B123" s="466" t="s">
        <v>4</v>
      </c>
      <c r="C123" s="463">
        <v>593340</v>
      </c>
      <c r="D123" s="461">
        <f>C123+486+140800</f>
        <v>734626</v>
      </c>
      <c r="E123" s="408">
        <v>566000</v>
      </c>
      <c r="F123" s="462">
        <v>734626</v>
      </c>
      <c r="G123" s="505">
        <v>851941</v>
      </c>
      <c r="H123" s="54"/>
      <c r="I123" s="72"/>
      <c r="M123" s="359"/>
      <c r="N123" s="28"/>
      <c r="O123" s="29"/>
      <c r="Q123" s="29"/>
      <c r="R123" s="29"/>
    </row>
    <row r="124" spans="1:18" s="11" customFormat="1" ht="14.25" thickBot="1">
      <c r="A124" s="124"/>
      <c r="B124" s="460" t="s">
        <v>5</v>
      </c>
      <c r="C124" s="373">
        <f>SUM(C120:C123)</f>
        <v>614340</v>
      </c>
      <c r="D124" s="371">
        <f>SUM(D120:D123)</f>
        <v>855626</v>
      </c>
      <c r="E124" s="360">
        <f>SUM(E120:E123)</f>
        <v>634390</v>
      </c>
      <c r="F124" s="372">
        <f>SUM(F120:F123)</f>
        <v>966058</v>
      </c>
      <c r="G124" s="384">
        <f>SUM(G120:G123)</f>
        <v>873941</v>
      </c>
      <c r="H124" s="35"/>
      <c r="I124" s="56"/>
      <c r="M124" s="124"/>
      <c r="N124" s="16"/>
      <c r="O124" s="52"/>
      <c r="P124" s="500"/>
      <c r="Q124" s="52"/>
      <c r="R124" s="52"/>
    </row>
    <row r="125" spans="2:18" ht="7.5" customHeight="1" thickBot="1">
      <c r="B125" s="20"/>
      <c r="E125" s="362"/>
      <c r="F125" s="362"/>
      <c r="N125" s="16"/>
      <c r="O125" s="29"/>
      <c r="Q125" s="29"/>
      <c r="R125" s="29"/>
    </row>
    <row r="126" spans="2:18" ht="15" thickBot="1" thickTop="1">
      <c r="B126" s="340" t="s">
        <v>168</v>
      </c>
      <c r="C126" s="341"/>
      <c r="D126" s="343">
        <f>D124-D117</f>
        <v>0</v>
      </c>
      <c r="E126" s="343">
        <f>E124-E117</f>
        <v>132904</v>
      </c>
      <c r="F126" s="343">
        <f>F124-F117</f>
        <v>0</v>
      </c>
      <c r="G126" s="343">
        <f>G124-G117</f>
        <v>0</v>
      </c>
      <c r="N126" s="16"/>
      <c r="O126" s="29"/>
      <c r="Q126" s="29"/>
      <c r="R126" s="29"/>
    </row>
    <row r="127" spans="2:18" ht="14.25" thickTop="1">
      <c r="B127" s="20"/>
      <c r="E127" s="362"/>
      <c r="F127" s="362"/>
      <c r="N127" s="16"/>
      <c r="O127" s="29"/>
      <c r="Q127" s="29"/>
      <c r="R127" s="29"/>
    </row>
    <row r="128" spans="2:18" ht="18" thickBot="1">
      <c r="B128" s="875" t="s">
        <v>15</v>
      </c>
      <c r="C128" s="875"/>
      <c r="D128" s="875"/>
      <c r="E128" s="875"/>
      <c r="F128" s="875"/>
      <c r="G128" s="875"/>
      <c r="H128" s="875"/>
      <c r="I128" s="875"/>
      <c r="J128" s="875"/>
      <c r="K128" s="875"/>
      <c r="L128" s="875"/>
      <c r="N128" s="16"/>
      <c r="O128" s="29"/>
      <c r="Q128" s="29"/>
      <c r="R128" s="29"/>
    </row>
    <row r="129" spans="2:18" ht="15">
      <c r="B129" s="454" t="s">
        <v>0</v>
      </c>
      <c r="C129" s="152" t="s">
        <v>17</v>
      </c>
      <c r="D129" s="38" t="s">
        <v>23</v>
      </c>
      <c r="E129" s="350" t="s">
        <v>137</v>
      </c>
      <c r="F129" s="350" t="s">
        <v>171</v>
      </c>
      <c r="G129" s="386" t="s">
        <v>165</v>
      </c>
      <c r="H129" s="9"/>
      <c r="I129" s="36"/>
      <c r="J129" s="1"/>
      <c r="K129" s="1"/>
      <c r="L129" s="41"/>
      <c r="M129" s="351" t="s">
        <v>136</v>
      </c>
      <c r="N129" s="16"/>
      <c r="O129" s="29"/>
      <c r="Q129" s="29"/>
      <c r="R129" s="29"/>
    </row>
    <row r="130" spans="2:18" ht="15.75" thickBot="1">
      <c r="B130" s="470"/>
      <c r="C130" s="153" t="s">
        <v>22</v>
      </c>
      <c r="D130" s="39" t="s">
        <v>22</v>
      </c>
      <c r="E130" s="353">
        <v>2015</v>
      </c>
      <c r="F130" s="354" t="s">
        <v>172</v>
      </c>
      <c r="G130" s="395">
        <v>2017</v>
      </c>
      <c r="H130" s="9"/>
      <c r="I130" s="36"/>
      <c r="J130" s="1"/>
      <c r="K130" s="1"/>
      <c r="L130" s="41"/>
      <c r="M130" s="355"/>
      <c r="N130" s="16"/>
      <c r="O130" s="29"/>
      <c r="Q130" s="29"/>
      <c r="R130" s="29"/>
    </row>
    <row r="131" spans="2:18" ht="13.5">
      <c r="B131" s="471" t="s">
        <v>201</v>
      </c>
      <c r="C131" s="467">
        <v>95000</v>
      </c>
      <c r="D131" s="448">
        <f>C131</f>
        <v>95000</v>
      </c>
      <c r="E131" s="437">
        <v>47883</v>
      </c>
      <c r="F131" s="437">
        <v>60000</v>
      </c>
      <c r="G131" s="438">
        <v>56900</v>
      </c>
      <c r="H131" s="4"/>
      <c r="I131" s="4"/>
      <c r="J131" s="31"/>
      <c r="K131" s="31"/>
      <c r="L131" s="10"/>
      <c r="M131" s="356"/>
      <c r="N131" s="16"/>
      <c r="O131" s="29"/>
      <c r="Q131" s="29"/>
      <c r="R131" s="29"/>
    </row>
    <row r="132" spans="2:18" ht="13.5">
      <c r="B132" s="472" t="s">
        <v>55</v>
      </c>
      <c r="C132" s="468"/>
      <c r="D132" s="397"/>
      <c r="E132" s="398">
        <v>2902</v>
      </c>
      <c r="F132" s="398">
        <v>5000</v>
      </c>
      <c r="G132" s="400">
        <v>4900</v>
      </c>
      <c r="H132" s="4"/>
      <c r="I132" s="4"/>
      <c r="J132" s="31"/>
      <c r="K132" s="31"/>
      <c r="L132" s="10"/>
      <c r="M132" s="357"/>
      <c r="N132" s="16"/>
      <c r="O132" s="29"/>
      <c r="Q132" s="29"/>
      <c r="R132" s="29"/>
    </row>
    <row r="133" spans="2:18" ht="13.5">
      <c r="B133" s="478" t="s">
        <v>202</v>
      </c>
      <c r="C133" s="479"/>
      <c r="D133" s="422"/>
      <c r="E133" s="423">
        <v>13904</v>
      </c>
      <c r="F133" s="423">
        <v>30000</v>
      </c>
      <c r="G133" s="480">
        <v>34000</v>
      </c>
      <c r="H133" s="4"/>
      <c r="I133" s="4"/>
      <c r="J133" s="31"/>
      <c r="K133" s="31"/>
      <c r="L133" s="10"/>
      <c r="M133" s="357"/>
      <c r="N133" s="16"/>
      <c r="O133" s="29"/>
      <c r="Q133" s="29"/>
      <c r="R133" s="29"/>
    </row>
    <row r="134" spans="2:18" ht="13.5">
      <c r="B134" s="476" t="s">
        <v>1</v>
      </c>
      <c r="C134" s="477">
        <v>25000</v>
      </c>
      <c r="D134" s="410">
        <f>C134</f>
        <v>25000</v>
      </c>
      <c r="E134" s="411">
        <v>800</v>
      </c>
      <c r="F134" s="411">
        <v>25000</v>
      </c>
      <c r="G134" s="396">
        <v>25000</v>
      </c>
      <c r="H134" s="4"/>
      <c r="I134" s="4"/>
      <c r="J134" s="31"/>
      <c r="K134" s="31"/>
      <c r="L134" s="10"/>
      <c r="M134" s="357"/>
      <c r="N134" s="16"/>
      <c r="O134" s="29"/>
      <c r="Q134" s="29"/>
      <c r="R134" s="29"/>
    </row>
    <row r="135" spans="2:18" ht="13.5">
      <c r="B135" s="473" t="s">
        <v>8</v>
      </c>
      <c r="C135" s="468">
        <v>36000</v>
      </c>
      <c r="D135" s="397">
        <f aca="true" t="shared" si="4" ref="D135:D142">C135</f>
        <v>36000</v>
      </c>
      <c r="E135" s="398">
        <v>39835</v>
      </c>
      <c r="F135" s="398">
        <v>36000</v>
      </c>
      <c r="G135" s="400">
        <v>37000</v>
      </c>
      <c r="H135" s="4"/>
      <c r="I135" s="4"/>
      <c r="J135" s="31"/>
      <c r="K135" s="31"/>
      <c r="L135" s="10"/>
      <c r="M135" s="357"/>
      <c r="N135" s="16"/>
      <c r="O135" s="29"/>
      <c r="Q135" s="29"/>
      <c r="R135" s="29"/>
    </row>
    <row r="136" spans="2:18" ht="13.5">
      <c r="B136" s="473" t="s">
        <v>9</v>
      </c>
      <c r="C136" s="468">
        <v>1000</v>
      </c>
      <c r="D136" s="397">
        <f t="shared" si="4"/>
        <v>1000</v>
      </c>
      <c r="E136" s="398">
        <v>94</v>
      </c>
      <c r="F136" s="401">
        <v>15000</v>
      </c>
      <c r="G136" s="400">
        <v>16000</v>
      </c>
      <c r="H136" s="4"/>
      <c r="I136" s="4"/>
      <c r="J136" s="31"/>
      <c r="K136" s="31"/>
      <c r="L136" s="10"/>
      <c r="M136" s="357"/>
      <c r="N136" s="16"/>
      <c r="O136" s="29"/>
      <c r="Q136" s="29"/>
      <c r="R136" s="29"/>
    </row>
    <row r="137" spans="2:18" ht="13.5">
      <c r="B137" s="473" t="s">
        <v>16</v>
      </c>
      <c r="C137" s="468">
        <v>311000</v>
      </c>
      <c r="D137" s="397">
        <f t="shared" si="4"/>
        <v>311000</v>
      </c>
      <c r="E137" s="398">
        <f>331542-68926+37020</f>
        <v>299636</v>
      </c>
      <c r="F137" s="401">
        <v>244000</v>
      </c>
      <c r="G137" s="400">
        <v>250000</v>
      </c>
      <c r="H137" s="4"/>
      <c r="I137" s="4"/>
      <c r="J137" s="31"/>
      <c r="K137" s="31"/>
      <c r="L137" s="10"/>
      <c r="M137" s="357"/>
      <c r="N137" s="124" t="s">
        <v>174</v>
      </c>
      <c r="O137" s="29"/>
      <c r="P137" s="516" t="s">
        <v>291</v>
      </c>
      <c r="Q137" s="29"/>
      <c r="R137" s="29"/>
    </row>
    <row r="138" spans="2:18" ht="13.5">
      <c r="B138" s="473" t="s">
        <v>57</v>
      </c>
      <c r="C138" s="468">
        <v>2500</v>
      </c>
      <c r="D138" s="397">
        <f t="shared" si="4"/>
        <v>2500</v>
      </c>
      <c r="E138" s="398">
        <v>2110</v>
      </c>
      <c r="F138" s="398">
        <v>2500</v>
      </c>
      <c r="G138" s="400"/>
      <c r="H138" s="4"/>
      <c r="I138" s="4"/>
      <c r="J138" s="31"/>
      <c r="K138" s="31"/>
      <c r="L138" s="10"/>
      <c r="M138" s="357"/>
      <c r="N138" s="53"/>
      <c r="O138" s="29"/>
      <c r="Q138" s="29"/>
      <c r="R138" s="29"/>
    </row>
    <row r="139" spans="1:18" ht="13.5">
      <c r="A139" s="124">
        <v>1315</v>
      </c>
      <c r="B139" s="473" t="s">
        <v>59</v>
      </c>
      <c r="C139" s="468">
        <v>25000</v>
      </c>
      <c r="D139" s="397">
        <f t="shared" si="4"/>
        <v>25000</v>
      </c>
      <c r="E139" s="398">
        <v>30675</v>
      </c>
      <c r="F139" s="401">
        <v>31000</v>
      </c>
      <c r="G139" s="400">
        <v>66000</v>
      </c>
      <c r="H139" s="4"/>
      <c r="I139" s="4"/>
      <c r="J139" s="31"/>
      <c r="K139" s="31"/>
      <c r="L139" s="10"/>
      <c r="M139" s="357"/>
      <c r="N139" s="53">
        <f>G139</f>
        <v>66000</v>
      </c>
      <c r="O139" s="29"/>
      <c r="P139" s="515">
        <v>41000</v>
      </c>
      <c r="Q139" s="29"/>
      <c r="R139" s="29"/>
    </row>
    <row r="140" spans="1:18" ht="13.5">
      <c r="A140" s="124">
        <v>1309</v>
      </c>
      <c r="B140" s="473" t="s">
        <v>223</v>
      </c>
      <c r="C140" s="468">
        <v>20000</v>
      </c>
      <c r="D140" s="397">
        <f t="shared" si="4"/>
        <v>20000</v>
      </c>
      <c r="E140" s="398">
        <v>124373</v>
      </c>
      <c r="F140" s="401">
        <v>44000</v>
      </c>
      <c r="G140" s="400">
        <v>140000</v>
      </c>
      <c r="H140" s="4"/>
      <c r="I140" s="4"/>
      <c r="J140" s="31"/>
      <c r="K140" s="31"/>
      <c r="L140" s="10"/>
      <c r="M140" s="357" t="s">
        <v>148</v>
      </c>
      <c r="N140" s="53">
        <f>G140</f>
        <v>140000</v>
      </c>
      <c r="O140" s="29"/>
      <c r="P140" s="515">
        <v>90000</v>
      </c>
      <c r="Q140" s="29"/>
      <c r="R140" s="29"/>
    </row>
    <row r="141" spans="1:18" ht="13.5">
      <c r="A141" s="124">
        <v>1327</v>
      </c>
      <c r="B141" s="473" t="s">
        <v>203</v>
      </c>
      <c r="C141" s="468">
        <v>15000</v>
      </c>
      <c r="D141" s="397">
        <f t="shared" si="4"/>
        <v>15000</v>
      </c>
      <c r="E141" s="398">
        <v>14748</v>
      </c>
      <c r="F141" s="398">
        <v>15000</v>
      </c>
      <c r="G141" s="400">
        <v>20000</v>
      </c>
      <c r="H141" s="4"/>
      <c r="I141" s="4"/>
      <c r="J141" s="31"/>
      <c r="K141" s="31"/>
      <c r="L141" s="10"/>
      <c r="M141" s="357" t="s">
        <v>144</v>
      </c>
      <c r="N141" s="53">
        <f>G141</f>
        <v>20000</v>
      </c>
      <c r="O141" s="29"/>
      <c r="P141" s="515"/>
      <c r="Q141" s="29"/>
      <c r="R141" s="29"/>
    </row>
    <row r="142" spans="1:18" ht="13.5">
      <c r="A142" s="124">
        <v>1317</v>
      </c>
      <c r="B142" s="473" t="s">
        <v>204</v>
      </c>
      <c r="C142" s="468">
        <v>30000</v>
      </c>
      <c r="D142" s="397">
        <f t="shared" si="4"/>
        <v>30000</v>
      </c>
      <c r="E142" s="398"/>
      <c r="F142" s="401">
        <v>38000</v>
      </c>
      <c r="G142" s="400">
        <v>42000</v>
      </c>
      <c r="H142" s="4"/>
      <c r="I142" s="4"/>
      <c r="J142" s="31"/>
      <c r="K142" s="31"/>
      <c r="L142" s="10"/>
      <c r="M142" s="357" t="s">
        <v>234</v>
      </c>
      <c r="N142" s="53">
        <f>G142</f>
        <v>42000</v>
      </c>
      <c r="O142" s="29"/>
      <c r="P142" s="515">
        <v>12000</v>
      </c>
      <c r="Q142" s="29"/>
      <c r="R142" s="29"/>
    </row>
    <row r="143" spans="2:18" ht="14.25" thickBot="1">
      <c r="B143" s="474" t="s">
        <v>10</v>
      </c>
      <c r="C143" s="469">
        <v>751129</v>
      </c>
      <c r="D143" s="451">
        <v>753477</v>
      </c>
      <c r="E143" s="408">
        <v>731469</v>
      </c>
      <c r="F143" s="462">
        <f>D143</f>
        <v>753477</v>
      </c>
      <c r="G143" s="409">
        <v>900678</v>
      </c>
      <c r="H143" s="4"/>
      <c r="I143" s="4"/>
      <c r="J143" s="31"/>
      <c r="K143" s="31"/>
      <c r="L143" s="10"/>
      <c r="M143" s="359" t="s">
        <v>229</v>
      </c>
      <c r="N143" s="16"/>
      <c r="O143" s="29"/>
      <c r="P143" s="515"/>
      <c r="Q143" s="29"/>
      <c r="R143" s="29"/>
    </row>
    <row r="144" spans="1:18" s="11" customFormat="1" ht="14.25" thickBot="1">
      <c r="A144" s="124"/>
      <c r="B144" s="475" t="s">
        <v>2</v>
      </c>
      <c r="C144" s="331">
        <f>SUM(C131:C143)</f>
        <v>1311629</v>
      </c>
      <c r="D144" s="77">
        <f>SUM(D131:D143)</f>
        <v>1313977</v>
      </c>
      <c r="E144" s="365">
        <f>SUM(E131:E143)</f>
        <v>1308429</v>
      </c>
      <c r="F144" s="365">
        <f>SUM(F131:F143)</f>
        <v>1298977</v>
      </c>
      <c r="G144" s="365">
        <f>SUM(G131:G143)</f>
        <v>1592478</v>
      </c>
      <c r="H144" s="5"/>
      <c r="I144" s="85"/>
      <c r="J144" s="51"/>
      <c r="K144" s="51"/>
      <c r="L144" s="83"/>
      <c r="M144" s="124"/>
      <c r="N144" s="511">
        <f>SUM(N138:N143)</f>
        <v>268000</v>
      </c>
      <c r="O144" s="52"/>
      <c r="P144" s="519">
        <f>SUM(P139:P143)</f>
        <v>143000</v>
      </c>
      <c r="Q144" s="52"/>
      <c r="R144" s="52"/>
    </row>
    <row r="145" spans="2:18" ht="15.75" thickBot="1">
      <c r="B145" s="21"/>
      <c r="C145" s="23"/>
      <c r="D145" s="22"/>
      <c r="E145" s="362"/>
      <c r="F145" s="362"/>
      <c r="G145" s="391"/>
      <c r="H145" s="31"/>
      <c r="I145" s="31"/>
      <c r="J145" s="31"/>
      <c r="K145" s="31"/>
      <c r="L145" s="10"/>
      <c r="N145" s="29"/>
      <c r="O145" s="29"/>
      <c r="Q145" s="29"/>
      <c r="R145" s="29"/>
    </row>
    <row r="146" spans="2:18" ht="15.75" thickBot="1">
      <c r="B146" s="24" t="s">
        <v>3</v>
      </c>
      <c r="C146" s="23"/>
      <c r="D146" s="22"/>
      <c r="E146" s="362"/>
      <c r="F146" s="362"/>
      <c r="G146" s="391"/>
      <c r="H146" s="31"/>
      <c r="I146" s="31"/>
      <c r="J146" s="31"/>
      <c r="K146" s="31"/>
      <c r="L146" s="10"/>
      <c r="N146" s="135"/>
      <c r="O146" s="29"/>
      <c r="Q146" s="29"/>
      <c r="R146" s="29"/>
    </row>
    <row r="147" spans="2:18" ht="13.5">
      <c r="B147" s="486" t="s">
        <v>11</v>
      </c>
      <c r="C147" s="467">
        <v>265000</v>
      </c>
      <c r="D147" s="448">
        <f>C147</f>
        <v>265000</v>
      </c>
      <c r="E147" s="437">
        <v>421110</v>
      </c>
      <c r="F147" s="481">
        <v>345040</v>
      </c>
      <c r="G147" s="438">
        <v>354000</v>
      </c>
      <c r="H147" s="4"/>
      <c r="I147" s="4"/>
      <c r="J147" s="31"/>
      <c r="K147" s="31"/>
      <c r="L147" s="10"/>
      <c r="M147" s="356"/>
      <c r="N147" s="29"/>
      <c r="O147" s="16" t="s">
        <v>263</v>
      </c>
      <c r="Q147" s="29"/>
      <c r="R147" s="29"/>
    </row>
    <row r="148" spans="2:18" ht="13.5">
      <c r="B148" s="497" t="s">
        <v>227</v>
      </c>
      <c r="C148" s="477"/>
      <c r="D148" s="410"/>
      <c r="E148" s="411"/>
      <c r="F148" s="412"/>
      <c r="G148" s="396">
        <f>12000+41000+90000</f>
        <v>143000</v>
      </c>
      <c r="H148" s="4"/>
      <c r="I148" s="4"/>
      <c r="J148" s="31"/>
      <c r="K148" s="31"/>
      <c r="L148" s="10"/>
      <c r="M148" s="414"/>
      <c r="N148" s="29"/>
      <c r="O148" s="29"/>
      <c r="Q148" s="29"/>
      <c r="R148" s="29"/>
    </row>
    <row r="149" spans="2:18" ht="13.5">
      <c r="B149" s="487" t="s">
        <v>4</v>
      </c>
      <c r="C149" s="483">
        <v>954129</v>
      </c>
      <c r="D149" s="402">
        <v>956477</v>
      </c>
      <c r="E149" s="398">
        <v>899000</v>
      </c>
      <c r="F149" s="403">
        <v>861437</v>
      </c>
      <c r="G149" s="504">
        <v>970478</v>
      </c>
      <c r="H149" s="4"/>
      <c r="I149" s="4"/>
      <c r="J149" s="31"/>
      <c r="K149" s="31"/>
      <c r="L149" s="10"/>
      <c r="M149" s="357"/>
      <c r="N149" s="29"/>
      <c r="O149" s="29"/>
      <c r="Q149" s="29"/>
      <c r="R149" s="29"/>
    </row>
    <row r="150" spans="2:18" ht="13.5">
      <c r="B150" s="488" t="s">
        <v>60</v>
      </c>
      <c r="C150" s="484">
        <v>2500</v>
      </c>
      <c r="D150" s="397">
        <f>C150</f>
        <v>2500</v>
      </c>
      <c r="E150" s="398">
        <v>2500</v>
      </c>
      <c r="F150" s="398">
        <v>2500</v>
      </c>
      <c r="G150" s="400"/>
      <c r="H150" s="4"/>
      <c r="I150" s="4"/>
      <c r="J150" s="31"/>
      <c r="K150" s="31"/>
      <c r="L150" s="10"/>
      <c r="M150" s="357"/>
      <c r="N150" s="29"/>
      <c r="O150" s="29"/>
      <c r="Q150" s="29"/>
      <c r="R150" s="29"/>
    </row>
    <row r="151" spans="2:18" ht="13.5">
      <c r="B151" s="488" t="s">
        <v>51</v>
      </c>
      <c r="C151" s="484">
        <v>20000</v>
      </c>
      <c r="D151" s="397">
        <f>C151</f>
        <v>20000</v>
      </c>
      <c r="E151" s="398">
        <v>20000</v>
      </c>
      <c r="F151" s="398">
        <v>20000</v>
      </c>
      <c r="G151" s="400">
        <v>50000</v>
      </c>
      <c r="H151" s="4"/>
      <c r="I151" s="4"/>
      <c r="J151" s="31"/>
      <c r="K151" s="31"/>
      <c r="L151" s="10"/>
      <c r="M151" s="357"/>
      <c r="N151" s="29"/>
      <c r="O151" s="16">
        <f>G151</f>
        <v>50000</v>
      </c>
      <c r="Q151" s="29"/>
      <c r="R151" s="29"/>
    </row>
    <row r="152" spans="2:18" ht="13.5">
      <c r="B152" s="488" t="s">
        <v>61</v>
      </c>
      <c r="C152" s="484">
        <v>25000</v>
      </c>
      <c r="D152" s="397">
        <f>C152</f>
        <v>25000</v>
      </c>
      <c r="E152" s="398">
        <v>25000</v>
      </c>
      <c r="F152" s="398">
        <v>25000</v>
      </c>
      <c r="G152" s="400">
        <v>25000</v>
      </c>
      <c r="H152" s="4"/>
      <c r="I152" s="4"/>
      <c r="J152" s="31"/>
      <c r="K152" s="31"/>
      <c r="L152" s="10"/>
      <c r="M152" s="357"/>
      <c r="N152" s="29"/>
      <c r="O152" s="16">
        <f>G152</f>
        <v>25000</v>
      </c>
      <c r="Q152" s="29"/>
      <c r="R152" s="29"/>
    </row>
    <row r="153" spans="2:18" ht="13.5">
      <c r="B153" s="488" t="s">
        <v>205</v>
      </c>
      <c r="C153" s="484"/>
      <c r="D153" s="397"/>
      <c r="E153" s="398">
        <v>80000</v>
      </c>
      <c r="F153" s="398"/>
      <c r="G153" s="400"/>
      <c r="H153" s="4"/>
      <c r="I153" s="4"/>
      <c r="J153" s="31"/>
      <c r="K153" s="31"/>
      <c r="L153" s="10"/>
      <c r="M153" s="357"/>
      <c r="N153" s="29"/>
      <c r="O153" s="16"/>
      <c r="Q153" s="29"/>
      <c r="R153" s="29"/>
    </row>
    <row r="154" spans="2:18" ht="13.5">
      <c r="B154" s="488" t="s">
        <v>206</v>
      </c>
      <c r="C154" s="484">
        <v>15000</v>
      </c>
      <c r="D154" s="397">
        <f>C154</f>
        <v>15000</v>
      </c>
      <c r="E154" s="398" t="s">
        <v>207</v>
      </c>
      <c r="F154" s="398">
        <v>15000</v>
      </c>
      <c r="G154" s="400">
        <v>20000</v>
      </c>
      <c r="H154" s="4"/>
      <c r="I154" s="4"/>
      <c r="J154" s="31"/>
      <c r="K154" s="31"/>
      <c r="L154" s="10"/>
      <c r="M154" s="357"/>
      <c r="N154" s="29"/>
      <c r="O154" s="16">
        <f>G154</f>
        <v>20000</v>
      </c>
      <c r="Q154" s="29"/>
      <c r="R154" s="29"/>
    </row>
    <row r="155" spans="2:18" ht="13.5">
      <c r="B155" s="489" t="s">
        <v>208</v>
      </c>
      <c r="C155" s="485">
        <v>30000</v>
      </c>
      <c r="D155" s="397">
        <f>C155</f>
        <v>30000</v>
      </c>
      <c r="E155" s="398"/>
      <c r="F155" s="398">
        <v>30000</v>
      </c>
      <c r="G155" s="400">
        <v>30000</v>
      </c>
      <c r="H155" s="4"/>
      <c r="I155" s="4"/>
      <c r="J155" s="31"/>
      <c r="K155" s="31"/>
      <c r="L155" s="10"/>
      <c r="M155" s="357"/>
      <c r="N155" s="29"/>
      <c r="O155" s="16">
        <f>G155</f>
        <v>30000</v>
      </c>
      <c r="Q155" s="29"/>
      <c r="R155" s="29"/>
    </row>
    <row r="156" spans="2:18" ht="14.25" thickBot="1">
      <c r="B156" s="523" t="s">
        <v>209</v>
      </c>
      <c r="C156" s="524"/>
      <c r="D156" s="482"/>
      <c r="E156" s="408">
        <v>12500</v>
      </c>
      <c r="F156" s="408"/>
      <c r="G156" s="409"/>
      <c r="H156" s="4"/>
      <c r="I156" s="4"/>
      <c r="J156" s="31"/>
      <c r="K156" s="31"/>
      <c r="L156" s="10"/>
      <c r="M156" s="359"/>
      <c r="Q156" s="29"/>
      <c r="R156" s="29"/>
    </row>
    <row r="157" spans="1:18" s="11" customFormat="1" ht="14.25" thickBot="1">
      <c r="A157" s="124"/>
      <c r="B157" s="490" t="s">
        <v>5</v>
      </c>
      <c r="C157" s="173">
        <f>SUM(C147:C156)</f>
        <v>1311629</v>
      </c>
      <c r="D157" s="149">
        <f>SUM(D147:D156)</f>
        <v>1313977</v>
      </c>
      <c r="E157" s="360">
        <f>SUM(E147:E156)</f>
        <v>1460110</v>
      </c>
      <c r="F157" s="360">
        <f>SUM(F147:F156)</f>
        <v>1298977</v>
      </c>
      <c r="G157" s="360">
        <f>SUM(G147:G156)</f>
        <v>1592478</v>
      </c>
      <c r="H157" s="51"/>
      <c r="I157" s="85"/>
      <c r="J157" s="51"/>
      <c r="K157" s="51"/>
      <c r="L157" s="83"/>
      <c r="M157" s="124"/>
      <c r="O157" s="510">
        <f>SUM(O151:O156)</f>
        <v>125000</v>
      </c>
      <c r="P157" s="500"/>
      <c r="Q157" s="52"/>
      <c r="R157" s="52"/>
    </row>
    <row r="158" spans="1:18" s="11" customFormat="1" ht="9" customHeight="1" thickBot="1">
      <c r="A158" s="124"/>
      <c r="B158" s="137"/>
      <c r="C158" s="51"/>
      <c r="D158" s="5"/>
      <c r="E158" s="367"/>
      <c r="F158" s="367"/>
      <c r="G158" s="392"/>
      <c r="H158" s="51"/>
      <c r="I158" s="85"/>
      <c r="J158" s="51"/>
      <c r="K158" s="51"/>
      <c r="L158" s="83"/>
      <c r="M158" s="124"/>
      <c r="P158" s="500"/>
      <c r="Q158" s="52"/>
      <c r="R158" s="52"/>
    </row>
    <row r="159" spans="1:18" s="11" customFormat="1" ht="15" thickBot="1" thickTop="1">
      <c r="A159" s="124"/>
      <c r="B159" s="340" t="s">
        <v>169</v>
      </c>
      <c r="C159" s="341"/>
      <c r="D159" s="342"/>
      <c r="E159" s="343">
        <f>E157-E144</f>
        <v>151681</v>
      </c>
      <c r="F159" s="343">
        <f>F157-F144</f>
        <v>0</v>
      </c>
      <c r="G159" s="343">
        <f>G157-G144</f>
        <v>0</v>
      </c>
      <c r="H159" s="51"/>
      <c r="I159" s="85"/>
      <c r="J159" s="51"/>
      <c r="K159" s="51"/>
      <c r="L159" s="83"/>
      <c r="M159" s="124"/>
      <c r="P159" s="500"/>
      <c r="Q159" s="52"/>
      <c r="R159" s="52"/>
    </row>
    <row r="160" spans="1:18" s="11" customFormat="1" ht="14.25" thickTop="1">
      <c r="A160" s="124"/>
      <c r="B160" s="137"/>
      <c r="C160" s="51"/>
      <c r="D160" s="5"/>
      <c r="E160" s="367"/>
      <c r="F160" s="367"/>
      <c r="G160" s="392"/>
      <c r="H160" s="51"/>
      <c r="I160" s="85"/>
      <c r="J160" s="51"/>
      <c r="K160" s="51"/>
      <c r="L160" s="83"/>
      <c r="M160" s="124"/>
      <c r="P160" s="500"/>
      <c r="Q160" s="52"/>
      <c r="R160" s="52"/>
    </row>
    <row r="161" spans="1:18" s="6" customFormat="1" ht="18" thickBot="1">
      <c r="A161" s="63"/>
      <c r="B161" s="875" t="s">
        <v>62</v>
      </c>
      <c r="C161" s="875"/>
      <c r="D161" s="875"/>
      <c r="E161" s="875"/>
      <c r="F161" s="875"/>
      <c r="G161" s="875"/>
      <c r="H161" s="875"/>
      <c r="I161" s="875"/>
      <c r="J161" s="875"/>
      <c r="K161" s="875"/>
      <c r="L161" s="875"/>
      <c r="M161" s="63"/>
      <c r="P161" s="7"/>
      <c r="Q161" s="25"/>
      <c r="R161" s="25"/>
    </row>
    <row r="162" spans="1:16" s="25" customFormat="1" ht="15">
      <c r="A162" s="68"/>
      <c r="B162" s="454" t="s">
        <v>0</v>
      </c>
      <c r="C162" s="152" t="s">
        <v>17</v>
      </c>
      <c r="D162" s="38" t="s">
        <v>23</v>
      </c>
      <c r="E162" s="350" t="s">
        <v>137</v>
      </c>
      <c r="F162" s="350" t="s">
        <v>171</v>
      </c>
      <c r="G162" s="386" t="s">
        <v>165</v>
      </c>
      <c r="H162" s="9"/>
      <c r="I162" s="36"/>
      <c r="J162" s="1"/>
      <c r="K162" s="1"/>
      <c r="L162" s="41"/>
      <c r="M162" s="351" t="s">
        <v>136</v>
      </c>
      <c r="P162" s="57"/>
    </row>
    <row r="163" spans="1:16" s="25" customFormat="1" ht="15.75" thickBot="1">
      <c r="A163" s="68"/>
      <c r="B163" s="455"/>
      <c r="C163" s="153" t="s">
        <v>22</v>
      </c>
      <c r="D163" s="39" t="s">
        <v>22</v>
      </c>
      <c r="E163" s="353">
        <v>2015</v>
      </c>
      <c r="F163" s="370" t="s">
        <v>172</v>
      </c>
      <c r="G163" s="395">
        <v>2017</v>
      </c>
      <c r="H163" s="9"/>
      <c r="I163" s="36"/>
      <c r="J163" s="1"/>
      <c r="K163" s="1"/>
      <c r="L163" s="41"/>
      <c r="M163" s="355"/>
      <c r="P163" s="57"/>
    </row>
    <row r="164" spans="1:16" s="25" customFormat="1" ht="13.5">
      <c r="A164" s="68"/>
      <c r="B164" s="476" t="s">
        <v>1</v>
      </c>
      <c r="C164" s="477">
        <v>10000</v>
      </c>
      <c r="D164" s="410">
        <f>C164</f>
        <v>10000</v>
      </c>
      <c r="E164" s="411">
        <v>0</v>
      </c>
      <c r="F164" s="411">
        <v>5000</v>
      </c>
      <c r="G164" s="396">
        <v>5200</v>
      </c>
      <c r="H164" s="4"/>
      <c r="I164" s="4"/>
      <c r="J164" s="31"/>
      <c r="K164" s="31"/>
      <c r="L164" s="10"/>
      <c r="M164" s="374"/>
      <c r="P164" s="57"/>
    </row>
    <row r="165" spans="1:16" s="25" customFormat="1" ht="13.5">
      <c r="A165" s="68"/>
      <c r="B165" s="473" t="s">
        <v>8</v>
      </c>
      <c r="C165" s="468">
        <v>40000</v>
      </c>
      <c r="D165" s="397">
        <f>C165</f>
        <v>40000</v>
      </c>
      <c r="E165" s="398">
        <v>12723</v>
      </c>
      <c r="F165" s="398">
        <v>20000</v>
      </c>
      <c r="G165" s="400">
        <v>21000</v>
      </c>
      <c r="H165" s="4"/>
      <c r="I165" s="4"/>
      <c r="J165" s="31"/>
      <c r="K165" s="31"/>
      <c r="L165" s="10"/>
      <c r="M165" s="375"/>
      <c r="P165" s="57"/>
    </row>
    <row r="166" spans="1:16" s="25" customFormat="1" ht="13.5">
      <c r="A166" s="68"/>
      <c r="B166" s="473" t="s">
        <v>9</v>
      </c>
      <c r="C166" s="468">
        <v>1000</v>
      </c>
      <c r="D166" s="397">
        <f>C166</f>
        <v>1000</v>
      </c>
      <c r="E166" s="398">
        <v>115</v>
      </c>
      <c r="F166" s="398">
        <v>5000</v>
      </c>
      <c r="G166" s="400">
        <v>5200</v>
      </c>
      <c r="H166" s="4"/>
      <c r="I166" s="4"/>
      <c r="J166" s="31"/>
      <c r="K166" s="31"/>
      <c r="L166" s="10"/>
      <c r="M166" s="375"/>
      <c r="P166" s="57"/>
    </row>
    <row r="167" spans="1:16" s="25" customFormat="1" ht="13.5">
      <c r="A167" s="68"/>
      <c r="B167" s="473" t="s">
        <v>16</v>
      </c>
      <c r="C167" s="468">
        <v>95000</v>
      </c>
      <c r="D167" s="397">
        <f>C167</f>
        <v>95000</v>
      </c>
      <c r="E167" s="398"/>
      <c r="F167" s="398">
        <v>21000</v>
      </c>
      <c r="G167" s="400">
        <v>22000</v>
      </c>
      <c r="H167" s="27"/>
      <c r="I167" s="4"/>
      <c r="J167" s="31"/>
      <c r="K167" s="31"/>
      <c r="L167" s="10"/>
      <c r="M167" s="375"/>
      <c r="P167" s="57"/>
    </row>
    <row r="168" spans="1:16" s="25" customFormat="1" ht="13.5">
      <c r="A168" s="68"/>
      <c r="B168" s="473" t="s">
        <v>10</v>
      </c>
      <c r="C168" s="468">
        <v>612871</v>
      </c>
      <c r="D168" s="402">
        <v>615136</v>
      </c>
      <c r="E168" s="398">
        <v>618557</v>
      </c>
      <c r="F168" s="491">
        <f>D168</f>
        <v>615136</v>
      </c>
      <c r="G168" s="400">
        <v>821518</v>
      </c>
      <c r="H168" s="4"/>
      <c r="I168" s="4"/>
      <c r="J168" s="31"/>
      <c r="K168" s="31"/>
      <c r="L168" s="10"/>
      <c r="M168" s="357" t="s">
        <v>229</v>
      </c>
      <c r="N168" s="124" t="s">
        <v>174</v>
      </c>
      <c r="P168" s="57"/>
    </row>
    <row r="169" spans="1:16" s="25" customFormat="1" ht="13.5">
      <c r="A169" s="68"/>
      <c r="B169" s="473" t="s">
        <v>218</v>
      </c>
      <c r="C169" s="468"/>
      <c r="D169" s="402"/>
      <c r="E169" s="398"/>
      <c r="F169" s="491"/>
      <c r="G169" s="400">
        <v>45000</v>
      </c>
      <c r="H169" s="4"/>
      <c r="I169" s="4"/>
      <c r="J169" s="31"/>
      <c r="K169" s="31"/>
      <c r="L169" s="10"/>
      <c r="M169" s="375"/>
      <c r="N169" s="57">
        <v>45000</v>
      </c>
      <c r="P169" s="57"/>
    </row>
    <row r="170" spans="1:16" s="25" customFormat="1" ht="13.5">
      <c r="A170" s="68">
        <v>1351</v>
      </c>
      <c r="B170" s="473" t="s">
        <v>65</v>
      </c>
      <c r="C170" s="468">
        <v>90000</v>
      </c>
      <c r="D170" s="397">
        <f>C170</f>
        <v>90000</v>
      </c>
      <c r="E170" s="398">
        <v>70399</v>
      </c>
      <c r="F170" s="398">
        <v>90000</v>
      </c>
      <c r="G170" s="400">
        <v>90000</v>
      </c>
      <c r="H170" s="4"/>
      <c r="I170" s="4"/>
      <c r="J170" s="31"/>
      <c r="K170" s="31"/>
      <c r="L170" s="10"/>
      <c r="M170" s="357" t="s">
        <v>253</v>
      </c>
      <c r="N170" s="57">
        <f>C170</f>
        <v>90000</v>
      </c>
      <c r="P170" s="57"/>
    </row>
    <row r="171" spans="1:16" s="25" customFormat="1" ht="13.5">
      <c r="A171" s="68">
        <v>1350</v>
      </c>
      <c r="B171" s="473" t="s">
        <v>210</v>
      </c>
      <c r="C171" s="468">
        <v>30000</v>
      </c>
      <c r="D171" s="397">
        <f>C171</f>
        <v>30000</v>
      </c>
      <c r="E171" s="398">
        <v>16000</v>
      </c>
      <c r="F171" s="398">
        <v>30000</v>
      </c>
      <c r="G171" s="400">
        <v>30000</v>
      </c>
      <c r="H171" s="4"/>
      <c r="I171" s="4"/>
      <c r="J171" s="31"/>
      <c r="K171" s="31"/>
      <c r="L171" s="10"/>
      <c r="M171" s="357" t="s">
        <v>149</v>
      </c>
      <c r="N171" s="57">
        <f>C171</f>
        <v>30000</v>
      </c>
      <c r="P171" s="57"/>
    </row>
    <row r="172" spans="1:16" s="25" customFormat="1" ht="14.25" thickBot="1">
      <c r="A172" s="68">
        <v>1352</v>
      </c>
      <c r="B172" s="493" t="s">
        <v>63</v>
      </c>
      <c r="C172" s="479">
        <v>260000</v>
      </c>
      <c r="D172" s="422">
        <f>C172</f>
        <v>260000</v>
      </c>
      <c r="E172" s="492">
        <v>110000</v>
      </c>
      <c r="F172" s="492">
        <v>260000</v>
      </c>
      <c r="G172" s="480">
        <v>200000</v>
      </c>
      <c r="H172" s="4"/>
      <c r="I172" s="4"/>
      <c r="J172" s="31"/>
      <c r="K172" s="31"/>
      <c r="L172" s="10"/>
      <c r="M172" s="359" t="s">
        <v>147</v>
      </c>
      <c r="N172" s="57">
        <v>200000</v>
      </c>
      <c r="P172" s="57"/>
    </row>
    <row r="173" spans="1:16" s="25" customFormat="1" ht="14.25" thickBot="1">
      <c r="A173" s="68"/>
      <c r="B173" s="475" t="s">
        <v>2</v>
      </c>
      <c r="C173" s="173">
        <f>SUM(C164:C172)</f>
        <v>1138871</v>
      </c>
      <c r="D173" s="149">
        <f>SUM(D164:D172)</f>
        <v>1141136</v>
      </c>
      <c r="E173" s="360">
        <f>SUM(E164:E172)</f>
        <v>827794</v>
      </c>
      <c r="F173" s="360">
        <f>SUM(F164:F172)</f>
        <v>1046136</v>
      </c>
      <c r="G173" s="360">
        <f>SUM(G164:G172)</f>
        <v>1239918</v>
      </c>
      <c r="H173" s="5"/>
      <c r="I173" s="85"/>
      <c r="J173" s="51"/>
      <c r="K173" s="51"/>
      <c r="L173" s="83"/>
      <c r="M173" s="68"/>
      <c r="N173" s="509">
        <f>SUM(N169:N172)</f>
        <v>365000</v>
      </c>
      <c r="P173" s="57"/>
    </row>
    <row r="174" spans="1:16" s="29" customFormat="1" ht="15.75" thickBot="1">
      <c r="A174" s="278"/>
      <c r="B174" s="21"/>
      <c r="C174" s="23"/>
      <c r="D174" s="22"/>
      <c r="E174" s="362"/>
      <c r="F174" s="362"/>
      <c r="G174" s="391"/>
      <c r="H174" s="31"/>
      <c r="I174" s="31"/>
      <c r="J174" s="31"/>
      <c r="K174" s="31"/>
      <c r="L174" s="10"/>
      <c r="M174" s="278"/>
      <c r="P174" s="134"/>
    </row>
    <row r="175" spans="1:16" s="29" customFormat="1" ht="15.75" thickBot="1">
      <c r="A175" s="278"/>
      <c r="B175" s="24" t="s">
        <v>3</v>
      </c>
      <c r="C175" s="23"/>
      <c r="D175" s="22"/>
      <c r="E175" s="362"/>
      <c r="F175" s="362"/>
      <c r="G175" s="391"/>
      <c r="H175" s="31"/>
      <c r="I175" s="31"/>
      <c r="J175" s="31"/>
      <c r="K175" s="31"/>
      <c r="L175" s="10"/>
      <c r="M175" s="278"/>
      <c r="O175" s="16" t="s">
        <v>263</v>
      </c>
      <c r="P175" s="134"/>
    </row>
    <row r="176" spans="1:16" s="29" customFormat="1" ht="13.5">
      <c r="A176" s="278"/>
      <c r="B176" s="520" t="s">
        <v>211</v>
      </c>
      <c r="C176" s="521">
        <v>30000</v>
      </c>
      <c r="D176" s="448">
        <f>C176</f>
        <v>30000</v>
      </c>
      <c r="E176" s="437">
        <v>16000</v>
      </c>
      <c r="F176" s="437">
        <v>30000</v>
      </c>
      <c r="G176" s="438">
        <v>30000</v>
      </c>
      <c r="H176" s="4"/>
      <c r="I176" s="4"/>
      <c r="J176" s="31"/>
      <c r="K176" s="31"/>
      <c r="L176" s="10"/>
      <c r="M176" s="376"/>
      <c r="O176" s="16">
        <f>G176</f>
        <v>30000</v>
      </c>
      <c r="P176" s="134"/>
    </row>
    <row r="177" spans="1:16" s="29" customFormat="1" ht="13.5">
      <c r="A177" s="278"/>
      <c r="B177" s="522" t="s">
        <v>67</v>
      </c>
      <c r="C177" s="445">
        <v>90000</v>
      </c>
      <c r="D177" s="397">
        <f>C177</f>
        <v>90000</v>
      </c>
      <c r="E177" s="398">
        <v>70399</v>
      </c>
      <c r="F177" s="398">
        <v>90000</v>
      </c>
      <c r="G177" s="400">
        <v>90000</v>
      </c>
      <c r="H177" s="4"/>
      <c r="I177" s="4"/>
      <c r="J177" s="31"/>
      <c r="K177" s="31"/>
      <c r="L177" s="10"/>
      <c r="M177" s="364"/>
      <c r="O177" s="16">
        <f>G177</f>
        <v>90000</v>
      </c>
      <c r="P177" s="134"/>
    </row>
    <row r="178" spans="1:16" s="29" customFormat="1" ht="13.5">
      <c r="A178" s="278"/>
      <c r="B178" s="522" t="s">
        <v>68</v>
      </c>
      <c r="C178" s="445">
        <v>260000</v>
      </c>
      <c r="D178" s="397">
        <f>C178</f>
        <v>260000</v>
      </c>
      <c r="E178" s="398">
        <v>110000</v>
      </c>
      <c r="F178" s="398">
        <v>260000</v>
      </c>
      <c r="G178" s="400">
        <v>200000</v>
      </c>
      <c r="H178" s="4"/>
      <c r="I178" s="4"/>
      <c r="J178" s="31"/>
      <c r="K178" s="31"/>
      <c r="L178" s="10"/>
      <c r="M178" s="364"/>
      <c r="O178" s="16">
        <f>G178</f>
        <v>200000</v>
      </c>
      <c r="P178" s="134"/>
    </row>
    <row r="179" spans="1:16" s="29" customFormat="1" ht="13.5">
      <c r="A179" s="278"/>
      <c r="B179" s="517" t="s">
        <v>219</v>
      </c>
      <c r="C179" s="445"/>
      <c r="D179" s="397"/>
      <c r="E179" s="398"/>
      <c r="F179" s="398"/>
      <c r="G179" s="400">
        <v>45000</v>
      </c>
      <c r="H179" s="4"/>
      <c r="I179" s="4"/>
      <c r="J179" s="31"/>
      <c r="K179" s="31"/>
      <c r="L179" s="10"/>
      <c r="M179" s="394"/>
      <c r="O179" s="16">
        <f>G179</f>
        <v>45000</v>
      </c>
      <c r="P179" s="134"/>
    </row>
    <row r="180" spans="1:16" s="29" customFormat="1" ht="14.25" thickBot="1">
      <c r="A180" s="278"/>
      <c r="B180" s="495" t="s">
        <v>4</v>
      </c>
      <c r="C180" s="494">
        <v>758871</v>
      </c>
      <c r="D180" s="451">
        <v>761136</v>
      </c>
      <c r="E180" s="408">
        <v>735000</v>
      </c>
      <c r="F180" s="451">
        <v>666136</v>
      </c>
      <c r="G180" s="506">
        <v>874918</v>
      </c>
      <c r="H180" s="4"/>
      <c r="I180" s="4"/>
      <c r="J180" s="31"/>
      <c r="K180" s="31"/>
      <c r="L180" s="10"/>
      <c r="M180" s="377"/>
      <c r="O180" s="16">
        <f>G180</f>
        <v>874918</v>
      </c>
      <c r="P180" s="134"/>
    </row>
    <row r="181" spans="1:16" s="29" customFormat="1" ht="14.25" thickBot="1">
      <c r="A181" s="278"/>
      <c r="B181" s="490" t="s">
        <v>5</v>
      </c>
      <c r="C181" s="173">
        <f>SUM(C176:C180)</f>
        <v>1138871</v>
      </c>
      <c r="D181" s="149">
        <f>SUM(D176:D180)</f>
        <v>1141136</v>
      </c>
      <c r="E181" s="360">
        <f>SUM(E176:E180)</f>
        <v>931399</v>
      </c>
      <c r="F181" s="360">
        <f>SUM(F176:F180)</f>
        <v>1046136</v>
      </c>
      <c r="G181" s="360">
        <f>SUM(G176:G180)</f>
        <v>1239918</v>
      </c>
      <c r="H181" s="51"/>
      <c r="I181" s="85"/>
      <c r="J181" s="51"/>
      <c r="K181" s="51"/>
      <c r="L181" s="83"/>
      <c r="M181" s="278"/>
      <c r="O181" s="510">
        <f>SUM(O176:O180)</f>
        <v>1239918</v>
      </c>
      <c r="P181" s="134"/>
    </row>
    <row r="182" spans="1:16" s="29" customFormat="1" ht="7.5" customHeight="1" thickBot="1">
      <c r="A182" s="278"/>
      <c r="B182" s="68"/>
      <c r="C182" s="68"/>
      <c r="D182" s="68"/>
      <c r="E182" s="344"/>
      <c r="F182" s="344"/>
      <c r="G182" s="393"/>
      <c r="M182" s="278"/>
      <c r="P182" s="134"/>
    </row>
    <row r="183" spans="1:16" s="29" customFormat="1" ht="15" thickBot="1" thickTop="1">
      <c r="A183" s="278"/>
      <c r="B183" s="340" t="s">
        <v>224</v>
      </c>
      <c r="C183" s="341"/>
      <c r="D183" s="342"/>
      <c r="E183" s="343">
        <f>E181-E173</f>
        <v>103605</v>
      </c>
      <c r="F183" s="343">
        <f>F181-F173</f>
        <v>0</v>
      </c>
      <c r="G183" s="343">
        <f>G181-G173</f>
        <v>0</v>
      </c>
      <c r="M183" s="278"/>
      <c r="P183" s="134"/>
    </row>
    <row r="184" spans="1:16" s="29" customFormat="1" ht="10.5" customHeight="1" thickBot="1" thickTop="1">
      <c r="A184" s="278"/>
      <c r="B184" s="68"/>
      <c r="C184" s="68"/>
      <c r="D184" s="68"/>
      <c r="E184" s="344"/>
      <c r="F184" s="344"/>
      <c r="G184" s="344"/>
      <c r="M184" s="278"/>
      <c r="P184" s="134"/>
    </row>
    <row r="185" spans="1:16" s="29" customFormat="1" ht="15" thickBot="1" thickTop="1">
      <c r="A185" s="278"/>
      <c r="B185" s="340" t="s">
        <v>170</v>
      </c>
      <c r="C185" s="341"/>
      <c r="D185" s="342"/>
      <c r="E185" s="343">
        <f>E183+E159+E126+E103</f>
        <v>233544</v>
      </c>
      <c r="F185" s="343">
        <f>F183+F159+F126+F103</f>
        <v>0</v>
      </c>
      <c r="G185" s="343">
        <f>G183+G159+G126+G103</f>
        <v>0</v>
      </c>
      <c r="M185" s="278"/>
      <c r="N185" s="366" t="s">
        <v>264</v>
      </c>
      <c r="O185" s="503">
        <f>O181+O157+O101</f>
        <v>4429918</v>
      </c>
      <c r="P185" s="134"/>
    </row>
    <row r="186" spans="1:16" s="29" customFormat="1" ht="13.5" thickTop="1">
      <c r="A186" s="278"/>
      <c r="B186" s="68"/>
      <c r="C186" s="68"/>
      <c r="D186" s="68"/>
      <c r="E186" s="344"/>
      <c r="F186" s="344"/>
      <c r="G186" s="393"/>
      <c r="M186" s="278"/>
      <c r="P186" s="134"/>
    </row>
    <row r="187" spans="1:16" s="29" customFormat="1" ht="12.75">
      <c r="A187" s="278"/>
      <c r="B187" s="68"/>
      <c r="C187" s="68"/>
      <c r="D187" s="378" t="s">
        <v>212</v>
      </c>
      <c r="E187" s="344"/>
      <c r="F187" s="379" t="s">
        <v>213</v>
      </c>
      <c r="G187" s="498" t="s">
        <v>228</v>
      </c>
      <c r="M187" s="278" t="s">
        <v>289</v>
      </c>
      <c r="P187" s="134"/>
    </row>
    <row r="188" spans="1:16" s="29" customFormat="1" ht="12.75">
      <c r="A188" s="278"/>
      <c r="B188" s="68" t="s">
        <v>214</v>
      </c>
      <c r="C188" s="68"/>
      <c r="D188" s="380">
        <f>D180+D149+D123+D62</f>
        <v>9829995</v>
      </c>
      <c r="E188" s="344"/>
      <c r="F188" s="380">
        <f>F180+F149+F123+F62</f>
        <v>9829995</v>
      </c>
      <c r="G188" s="344">
        <f>G180+G149+G123+G62</f>
        <v>10361488</v>
      </c>
      <c r="M188" s="508">
        <f>G188/F188</f>
        <v>1.0540684913878389</v>
      </c>
      <c r="P188" s="134"/>
    </row>
    <row r="189" spans="1:16" s="29" customFormat="1" ht="12.75">
      <c r="A189" s="278"/>
      <c r="B189" s="68"/>
      <c r="C189" s="68"/>
      <c r="D189" s="68"/>
      <c r="E189" s="344"/>
      <c r="F189" s="344"/>
      <c r="G189" s="344"/>
      <c r="M189" s="507"/>
      <c r="P189" s="134"/>
    </row>
    <row r="190" spans="2:18" ht="12.75">
      <c r="B190" s="63" t="s">
        <v>215</v>
      </c>
      <c r="C190" s="63"/>
      <c r="D190" s="381">
        <f>D168+D143+D116+D14</f>
        <v>5651260</v>
      </c>
      <c r="E190" s="368"/>
      <c r="F190" s="381">
        <f>F168+F143+F116+F14</f>
        <v>5651260</v>
      </c>
      <c r="G190" s="368">
        <f>G168+G143+G116+G14</f>
        <v>6627050</v>
      </c>
      <c r="M190" s="508">
        <f>G190/F190</f>
        <v>1.1726676882677491</v>
      </c>
      <c r="Q190" s="29"/>
      <c r="R190" s="29"/>
    </row>
    <row r="191" spans="17:18" ht="12.75">
      <c r="Q191" s="29"/>
      <c r="R191" s="29"/>
    </row>
    <row r="192" spans="2:18" ht="12.75">
      <c r="B192" s="68"/>
      <c r="Q192" s="29"/>
      <c r="R192" s="29"/>
    </row>
    <row r="193" ht="12.75">
      <c r="B193" s="68"/>
    </row>
    <row r="194" ht="12.75">
      <c r="B194" s="63"/>
    </row>
  </sheetData>
  <sheetProtection/>
  <mergeCells count="5">
    <mergeCell ref="B1:L1"/>
    <mergeCell ref="B2:L2"/>
    <mergeCell ref="B105:I105"/>
    <mergeCell ref="B128:L128"/>
    <mergeCell ref="B161:L16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3" r:id="rId1"/>
  <headerFooter>
    <oddHeader>&amp;L&amp;D</oddHeader>
    <oddFooter>&amp;C&amp;P</oddFooter>
  </headerFooter>
  <rowBreaks count="3" manualBreakCount="3">
    <brk id="53" max="255" man="1"/>
    <brk id="103" max="255" man="1"/>
    <brk id="1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00"/>
  <sheetViews>
    <sheetView zoomScalePageLayoutView="0" workbookViewId="0" topLeftCell="A1">
      <pane xSplit="1" ySplit="6" topLeftCell="B177" activePane="bottomRight" state="frozen"/>
      <selection pane="topLeft" activeCell="A169" sqref="A1:IV16384"/>
      <selection pane="topRight" activeCell="A169" sqref="A1:IV16384"/>
      <selection pane="bottomLeft" activeCell="A169" sqref="A1:IV16384"/>
      <selection pane="bottomRight" activeCell="A169" sqref="A1:IV16384"/>
    </sheetView>
  </sheetViews>
  <sheetFormatPr defaultColWidth="9.00390625" defaultRowHeight="12.75"/>
  <cols>
    <col min="1" max="1" width="4.375" style="124" customWidth="1"/>
    <col min="2" max="2" width="44.00390625" style="0" customWidth="1"/>
    <col min="3" max="4" width="12.875" style="0" customWidth="1"/>
    <col min="5" max="6" width="12.125" style="0" customWidth="1"/>
    <col min="7" max="7" width="12.00390625" style="382" customWidth="1"/>
    <col min="8" max="8" width="12.00390625" style="382" hidden="1" customWidth="1"/>
    <col min="9" max="9" width="13.00390625" style="382" hidden="1" customWidth="1"/>
    <col min="10" max="10" width="15.00390625" style="611" customWidth="1"/>
    <col min="11" max="11" width="8.50390625" style="0" hidden="1" customWidth="1"/>
    <col min="12" max="15" width="9.125" style="0" hidden="1" customWidth="1"/>
    <col min="16" max="16" width="28.375" style="124" customWidth="1"/>
    <col min="17" max="17" width="9.50390625" style="0" customWidth="1"/>
    <col min="18" max="18" width="11.375" style="0" customWidth="1"/>
    <col min="19" max="19" width="10.50390625" style="500" customWidth="1"/>
  </cols>
  <sheetData>
    <row r="1" spans="2:15" ht="20.25">
      <c r="B1" s="872" t="s">
        <v>301</v>
      </c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</row>
    <row r="2" spans="2:18" ht="20.25">
      <c r="B2" s="873" t="s">
        <v>6</v>
      </c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R2" t="s">
        <v>173</v>
      </c>
    </row>
    <row r="3" spans="1:19" s="10" customFormat="1" ht="5.25" customHeight="1">
      <c r="A3" s="347"/>
      <c r="B3" s="8"/>
      <c r="C3" s="9"/>
      <c r="D3" s="9"/>
      <c r="E3" s="9"/>
      <c r="F3" s="9"/>
      <c r="G3" s="348"/>
      <c r="H3" s="348"/>
      <c r="I3" s="348"/>
      <c r="J3" s="597"/>
      <c r="K3" s="9"/>
      <c r="L3" s="36"/>
      <c r="M3" s="1"/>
      <c r="N3" s="1"/>
      <c r="O3" s="41"/>
      <c r="P3" s="347"/>
      <c r="S3" s="513"/>
    </row>
    <row r="4" spans="1:23" s="10" customFormat="1" ht="11.25" customHeight="1" thickBot="1">
      <c r="A4" s="347"/>
      <c r="B4" s="8"/>
      <c r="C4" s="9"/>
      <c r="D4" s="9"/>
      <c r="E4" s="9"/>
      <c r="F4" s="9"/>
      <c r="G4" s="348"/>
      <c r="H4" s="348"/>
      <c r="I4" s="348"/>
      <c r="J4" s="597"/>
      <c r="K4" s="9"/>
      <c r="L4" s="36"/>
      <c r="M4" s="1"/>
      <c r="N4" s="1"/>
      <c r="O4" s="41"/>
      <c r="P4" s="347"/>
      <c r="Q4" s="131"/>
      <c r="R4" s="131"/>
      <c r="S4" s="502"/>
      <c r="T4" s="29"/>
      <c r="U4" s="29"/>
      <c r="V4" s="29"/>
      <c r="W4" s="29"/>
    </row>
    <row r="5" spans="2:23" ht="15">
      <c r="B5" s="89" t="s">
        <v>7</v>
      </c>
      <c r="C5" s="93" t="s">
        <v>299</v>
      </c>
      <c r="D5" s="350" t="s">
        <v>137</v>
      </c>
      <c r="E5" s="93" t="s">
        <v>299</v>
      </c>
      <c r="F5" s="350" t="s">
        <v>137</v>
      </c>
      <c r="G5" s="93" t="s">
        <v>299</v>
      </c>
      <c r="H5" s="350" t="s">
        <v>338</v>
      </c>
      <c r="I5" s="383" t="s">
        <v>302</v>
      </c>
      <c r="J5" s="386" t="s">
        <v>165</v>
      </c>
      <c r="K5" s="181"/>
      <c r="L5" s="415"/>
      <c r="M5" s="416"/>
      <c r="N5" s="416"/>
      <c r="O5" s="417"/>
      <c r="P5" s="351" t="s">
        <v>136</v>
      </c>
      <c r="Q5" s="131"/>
      <c r="R5" s="25"/>
      <c r="S5" s="57"/>
      <c r="T5" s="29"/>
      <c r="U5" s="29"/>
      <c r="V5" s="29"/>
      <c r="W5" s="29"/>
    </row>
    <row r="6" spans="2:23" ht="15.75" thickBot="1">
      <c r="B6" s="369"/>
      <c r="C6" s="539">
        <v>2015</v>
      </c>
      <c r="D6" s="353">
        <v>2015</v>
      </c>
      <c r="E6" s="540">
        <v>2016</v>
      </c>
      <c r="F6" s="540">
        <v>2016</v>
      </c>
      <c r="G6" s="353">
        <v>2017</v>
      </c>
      <c r="H6" s="418" t="s">
        <v>339</v>
      </c>
      <c r="I6" s="418" t="s">
        <v>303</v>
      </c>
      <c r="J6" s="395" t="s">
        <v>300</v>
      </c>
      <c r="K6" s="182"/>
      <c r="L6" s="419"/>
      <c r="M6" s="420"/>
      <c r="N6" s="420"/>
      <c r="O6" s="421"/>
      <c r="P6" s="355"/>
      <c r="Q6" s="29"/>
      <c r="R6" s="29"/>
      <c r="S6" s="134"/>
      <c r="T6" s="29"/>
      <c r="U6" s="29"/>
      <c r="V6" s="29"/>
      <c r="W6" s="29"/>
    </row>
    <row r="7" spans="1:23" s="2" customFormat="1" ht="12.75" customHeight="1">
      <c r="A7" s="124"/>
      <c r="B7" s="532" t="s">
        <v>307</v>
      </c>
      <c r="C7" s="426">
        <v>1200000</v>
      </c>
      <c r="D7" s="411">
        <v>180273</v>
      </c>
      <c r="E7" s="410">
        <v>203000</v>
      </c>
      <c r="F7" s="410">
        <v>182957</v>
      </c>
      <c r="G7" s="411">
        <v>200000</v>
      </c>
      <c r="H7" s="411"/>
      <c r="I7" s="411"/>
      <c r="J7" s="600">
        <v>220000</v>
      </c>
      <c r="K7" s="4"/>
      <c r="L7" s="26"/>
      <c r="M7" s="65"/>
      <c r="N7" s="65"/>
      <c r="O7" s="69"/>
      <c r="P7" s="414"/>
      <c r="Q7" s="57"/>
      <c r="R7" s="57"/>
      <c r="S7" s="57"/>
      <c r="T7" s="70"/>
      <c r="U7" s="70"/>
      <c r="V7" s="70"/>
      <c r="W7" s="70"/>
    </row>
    <row r="8" spans="1:23" s="2" customFormat="1" ht="12.75" customHeight="1">
      <c r="A8" s="124"/>
      <c r="B8" s="533" t="s">
        <v>305</v>
      </c>
      <c r="C8" s="427"/>
      <c r="D8" s="398">
        <v>108606</v>
      </c>
      <c r="E8" s="397">
        <v>77000</v>
      </c>
      <c r="F8" s="397">
        <v>70712</v>
      </c>
      <c r="G8" s="398">
        <v>90000</v>
      </c>
      <c r="H8" s="398"/>
      <c r="I8" s="398"/>
      <c r="J8" s="398">
        <v>99000</v>
      </c>
      <c r="K8" s="4"/>
      <c r="L8" s="26"/>
      <c r="M8" s="65"/>
      <c r="N8" s="65"/>
      <c r="O8" s="69"/>
      <c r="P8" s="357"/>
      <c r="Q8" s="57"/>
      <c r="R8" s="57"/>
      <c r="S8" s="57"/>
      <c r="T8" s="70"/>
      <c r="U8" s="70"/>
      <c r="V8" s="70"/>
      <c r="W8" s="70"/>
    </row>
    <row r="9" spans="1:23" s="2" customFormat="1" ht="12.75" customHeight="1">
      <c r="A9" s="124"/>
      <c r="B9" s="533" t="s">
        <v>306</v>
      </c>
      <c r="C9" s="428"/>
      <c r="D9" s="423">
        <v>850526</v>
      </c>
      <c r="E9" s="422">
        <v>920000</v>
      </c>
      <c r="F9" s="422">
        <v>958122</v>
      </c>
      <c r="G9" s="423">
        <v>1000000</v>
      </c>
      <c r="H9" s="423"/>
      <c r="I9" s="423"/>
      <c r="J9" s="423">
        <v>1100000</v>
      </c>
      <c r="K9" s="4"/>
      <c r="L9" s="26"/>
      <c r="M9" s="65"/>
      <c r="N9" s="65"/>
      <c r="O9" s="69"/>
      <c r="P9" s="358"/>
      <c r="Q9" s="57"/>
      <c r="R9" s="57"/>
      <c r="S9" s="57"/>
      <c r="T9" s="70"/>
      <c r="U9" s="70"/>
      <c r="V9" s="70"/>
      <c r="W9" s="70"/>
    </row>
    <row r="10" spans="1:23" s="2" customFormat="1" ht="12.75" customHeight="1">
      <c r="A10" s="124"/>
      <c r="B10" s="534" t="s">
        <v>1</v>
      </c>
      <c r="C10" s="426">
        <v>50000</v>
      </c>
      <c r="D10" s="411">
        <v>7811</v>
      </c>
      <c r="E10" s="410">
        <f>C10</f>
        <v>50000</v>
      </c>
      <c r="F10" s="410">
        <v>12631</v>
      </c>
      <c r="G10" s="411">
        <v>50000</v>
      </c>
      <c r="H10" s="411"/>
      <c r="I10" s="412"/>
      <c r="J10" s="601">
        <v>50000</v>
      </c>
      <c r="K10" s="4"/>
      <c r="L10" s="26"/>
      <c r="M10" s="65"/>
      <c r="N10" s="65"/>
      <c r="O10" s="69"/>
      <c r="P10" s="357"/>
      <c r="Q10" s="57"/>
      <c r="R10" s="57"/>
      <c r="S10" s="57"/>
      <c r="T10" s="70"/>
      <c r="U10" s="70"/>
      <c r="V10" s="70"/>
      <c r="W10" s="70"/>
    </row>
    <row r="11" spans="1:23" s="2" customFormat="1" ht="12.75" customHeight="1">
      <c r="A11" s="124"/>
      <c r="B11" s="527" t="s">
        <v>8</v>
      </c>
      <c r="C11" s="427">
        <v>395000</v>
      </c>
      <c r="D11" s="398">
        <v>357616</v>
      </c>
      <c r="E11" s="397">
        <f>C11</f>
        <v>395000</v>
      </c>
      <c r="F11" s="397">
        <v>443970</v>
      </c>
      <c r="G11" s="398">
        <v>403000</v>
      </c>
      <c r="H11" s="398"/>
      <c r="I11" s="399"/>
      <c r="J11" s="602">
        <v>410000</v>
      </c>
      <c r="K11" s="4"/>
      <c r="L11" s="26"/>
      <c r="M11" s="65"/>
      <c r="N11" s="65"/>
      <c r="O11" s="69"/>
      <c r="P11" s="357"/>
      <c r="Q11" s="57"/>
      <c r="R11" s="57"/>
      <c r="S11" s="57"/>
      <c r="T11" s="70"/>
      <c r="U11" s="70"/>
      <c r="V11" s="70"/>
      <c r="W11" s="70"/>
    </row>
    <row r="12" spans="1:23" s="2" customFormat="1" ht="12.75" customHeight="1">
      <c r="A12" s="124"/>
      <c r="B12" s="527" t="s">
        <v>18</v>
      </c>
      <c r="C12" s="427">
        <v>3300000</v>
      </c>
      <c r="D12" s="398">
        <f>3456317-D22</f>
        <v>3419317</v>
      </c>
      <c r="E12" s="397">
        <v>3074132</v>
      </c>
      <c r="F12" s="397">
        <v>2755358</v>
      </c>
      <c r="G12" s="398">
        <v>1870000</v>
      </c>
      <c r="H12" s="398"/>
      <c r="I12" s="399"/>
      <c r="J12" s="602">
        <v>2050000</v>
      </c>
      <c r="K12" s="4"/>
      <c r="L12" s="26"/>
      <c r="M12" s="65"/>
      <c r="N12" s="65"/>
      <c r="O12" s="69"/>
      <c r="P12" s="357"/>
      <c r="Q12" s="57"/>
      <c r="R12" s="57"/>
      <c r="S12" s="57"/>
      <c r="T12" s="70"/>
      <c r="U12" s="70"/>
      <c r="V12" s="70"/>
      <c r="W12" s="70"/>
    </row>
    <row r="13" spans="1:23" s="2" customFormat="1" ht="12.75" customHeight="1">
      <c r="A13" s="124"/>
      <c r="B13" s="527" t="s">
        <v>9</v>
      </c>
      <c r="C13" s="427">
        <v>230000</v>
      </c>
      <c r="D13" s="398">
        <v>318</v>
      </c>
      <c r="E13" s="397">
        <f>C13</f>
        <v>230000</v>
      </c>
      <c r="F13" s="397">
        <v>383291</v>
      </c>
      <c r="G13" s="398">
        <v>1040000</v>
      </c>
      <c r="H13" s="398"/>
      <c r="I13" s="399"/>
      <c r="J13" s="602">
        <v>1190000</v>
      </c>
      <c r="K13" s="4"/>
      <c r="L13" s="26"/>
      <c r="M13" s="65"/>
      <c r="N13" s="65"/>
      <c r="O13" s="69"/>
      <c r="P13" s="357"/>
      <c r="Q13" s="57"/>
      <c r="R13" s="57"/>
      <c r="S13" s="57"/>
      <c r="T13" s="70"/>
      <c r="U13" s="70"/>
      <c r="V13" s="70"/>
      <c r="W13" s="70"/>
    </row>
    <row r="14" spans="1:23" s="2" customFormat="1" ht="12.75" customHeight="1">
      <c r="A14" s="124"/>
      <c r="B14" s="527" t="s">
        <v>345</v>
      </c>
      <c r="C14" s="427"/>
      <c r="D14" s="398"/>
      <c r="E14" s="397"/>
      <c r="F14" s="397"/>
      <c r="G14" s="398"/>
      <c r="H14" s="398"/>
      <c r="I14" s="399"/>
      <c r="J14" s="629">
        <v>900000</v>
      </c>
      <c r="K14" s="4"/>
      <c r="L14" s="26"/>
      <c r="M14" s="65"/>
      <c r="N14" s="65"/>
      <c r="O14" s="69"/>
      <c r="P14" s="357"/>
      <c r="Q14" s="57"/>
      <c r="R14" s="57"/>
      <c r="S14" s="57"/>
      <c r="T14" s="70"/>
      <c r="U14" s="70"/>
      <c r="V14" s="70"/>
      <c r="W14" s="70"/>
    </row>
    <row r="15" spans="1:23" s="2" customFormat="1" ht="12.75" customHeight="1">
      <c r="A15" s="124"/>
      <c r="B15" s="545" t="s">
        <v>10</v>
      </c>
      <c r="C15" s="546">
        <v>3950254</v>
      </c>
      <c r="D15" s="547">
        <v>3339761</v>
      </c>
      <c r="E15" s="548">
        <v>4010430</v>
      </c>
      <c r="F15" s="548">
        <v>3952290</v>
      </c>
      <c r="G15" s="547">
        <v>4517481</v>
      </c>
      <c r="H15" s="547"/>
      <c r="I15" s="547"/>
      <c r="J15" s="547">
        <v>5025161</v>
      </c>
      <c r="K15" s="4"/>
      <c r="L15" s="26"/>
      <c r="M15" s="81"/>
      <c r="N15" s="81"/>
      <c r="O15" s="69"/>
      <c r="P15" s="357"/>
      <c r="Q15" s="124" t="s">
        <v>174</v>
      </c>
      <c r="R15" s="57"/>
      <c r="S15" s="514" t="s">
        <v>291</v>
      </c>
      <c r="T15" s="70"/>
      <c r="U15" s="70"/>
      <c r="V15" s="70"/>
      <c r="W15" s="70"/>
    </row>
    <row r="16" spans="1:23" s="2" customFormat="1" ht="12.75" customHeight="1">
      <c r="A16" s="124">
        <v>1601</v>
      </c>
      <c r="B16" s="518" t="s">
        <v>39</v>
      </c>
      <c r="C16" s="427">
        <v>950000</v>
      </c>
      <c r="D16" s="398">
        <v>1299917</v>
      </c>
      <c r="E16" s="404">
        <f>C16</f>
        <v>950000</v>
      </c>
      <c r="F16" s="404">
        <v>895685</v>
      </c>
      <c r="G16" s="398">
        <v>1004000</v>
      </c>
      <c r="H16" s="398"/>
      <c r="I16" s="398"/>
      <c r="J16" s="602">
        <f>1374500-160000</f>
        <v>1214500</v>
      </c>
      <c r="K16" s="4"/>
      <c r="L16" s="53"/>
      <c r="M16" s="65"/>
      <c r="N16" s="65"/>
      <c r="O16" s="69"/>
      <c r="P16" s="357" t="s">
        <v>231</v>
      </c>
      <c r="Q16" s="57">
        <f>J16</f>
        <v>1214500</v>
      </c>
      <c r="R16" s="348"/>
      <c r="S16" s="57">
        <v>0</v>
      </c>
      <c r="T16" s="70"/>
      <c r="U16" s="70"/>
      <c r="V16" s="70"/>
      <c r="W16" s="70"/>
    </row>
    <row r="17" spans="1:23" s="2" customFormat="1" ht="12.75" customHeight="1">
      <c r="A17" s="124"/>
      <c r="B17" s="535" t="s">
        <v>310</v>
      </c>
      <c r="C17" s="429"/>
      <c r="D17" s="406"/>
      <c r="E17" s="405">
        <v>130000</v>
      </c>
      <c r="F17" s="405">
        <v>130000</v>
      </c>
      <c r="G17" s="406"/>
      <c r="H17" s="406"/>
      <c r="I17" s="406"/>
      <c r="J17" s="602"/>
      <c r="K17" s="4"/>
      <c r="L17" s="53"/>
      <c r="M17" s="65"/>
      <c r="N17" s="65"/>
      <c r="O17" s="69"/>
      <c r="P17" s="357"/>
      <c r="Q17" s="57"/>
      <c r="R17" s="348"/>
      <c r="S17" s="57"/>
      <c r="T17" s="70"/>
      <c r="U17" s="70"/>
      <c r="V17" s="70"/>
      <c r="W17" s="70"/>
    </row>
    <row r="18" spans="1:23" s="2" customFormat="1" ht="12.75" customHeight="1">
      <c r="A18" s="124"/>
      <c r="B18" s="535" t="s">
        <v>309</v>
      </c>
      <c r="C18" s="429"/>
      <c r="D18" s="406"/>
      <c r="E18" s="405">
        <v>30000</v>
      </c>
      <c r="F18" s="405">
        <v>30000</v>
      </c>
      <c r="G18" s="406">
        <v>50000</v>
      </c>
      <c r="H18" s="406"/>
      <c r="I18" s="406"/>
      <c r="J18" s="602"/>
      <c r="K18" s="4"/>
      <c r="L18" s="53"/>
      <c r="M18" s="65"/>
      <c r="N18" s="65"/>
      <c r="O18" s="69"/>
      <c r="P18" s="357"/>
      <c r="Q18" s="57"/>
      <c r="R18" s="348"/>
      <c r="S18" s="57"/>
      <c r="T18" s="70"/>
      <c r="U18" s="70"/>
      <c r="V18" s="70"/>
      <c r="W18" s="70"/>
    </row>
    <row r="19" spans="1:23" s="2" customFormat="1" ht="12.75" customHeight="1">
      <c r="A19" s="124"/>
      <c r="B19" s="535" t="s">
        <v>337</v>
      </c>
      <c r="C19" s="429"/>
      <c r="D19" s="406"/>
      <c r="E19" s="405"/>
      <c r="F19" s="405"/>
      <c r="G19" s="406">
        <v>50000</v>
      </c>
      <c r="H19" s="406"/>
      <c r="I19" s="406"/>
      <c r="J19" s="602">
        <v>50000</v>
      </c>
      <c r="K19" s="4"/>
      <c r="L19" s="53"/>
      <c r="M19" s="65"/>
      <c r="N19" s="65"/>
      <c r="O19" s="69"/>
      <c r="P19" s="357" t="s">
        <v>232</v>
      </c>
      <c r="Q19" s="57">
        <f>J19</f>
        <v>50000</v>
      </c>
      <c r="R19" s="348"/>
      <c r="S19" s="57"/>
      <c r="T19" s="70"/>
      <c r="U19" s="70"/>
      <c r="V19" s="70"/>
      <c r="W19" s="70"/>
    </row>
    <row r="20" spans="1:23" s="2" customFormat="1" ht="12.75" customHeight="1">
      <c r="A20" s="124">
        <v>1902</v>
      </c>
      <c r="B20" s="518" t="s">
        <v>139</v>
      </c>
      <c r="C20" s="427">
        <v>100000</v>
      </c>
      <c r="D20" s="398">
        <v>2815</v>
      </c>
      <c r="E20" s="404">
        <f>C20</f>
        <v>100000</v>
      </c>
      <c r="F20" s="404">
        <v>36664</v>
      </c>
      <c r="G20" s="398">
        <v>50000</v>
      </c>
      <c r="H20" s="398"/>
      <c r="I20" s="398"/>
      <c r="J20" s="602">
        <v>50000</v>
      </c>
      <c r="K20" s="4"/>
      <c r="L20" s="53"/>
      <c r="M20" s="65"/>
      <c r="N20" s="65"/>
      <c r="O20" s="69"/>
      <c r="P20" s="357"/>
      <c r="Q20" s="57"/>
      <c r="R20" s="348"/>
      <c r="S20" s="57"/>
      <c r="T20" s="70"/>
      <c r="U20" s="70"/>
      <c r="V20" s="70"/>
      <c r="W20" s="70"/>
    </row>
    <row r="21" spans="1:23" s="2" customFormat="1" ht="12.75" customHeight="1">
      <c r="A21" s="124">
        <v>1306</v>
      </c>
      <c r="B21" s="518" t="s">
        <v>69</v>
      </c>
      <c r="C21" s="430">
        <v>30000</v>
      </c>
      <c r="D21" s="398">
        <v>40346</v>
      </c>
      <c r="E21" s="404">
        <f>C21</f>
        <v>30000</v>
      </c>
      <c r="F21" s="404">
        <v>45600</v>
      </c>
      <c r="G21" s="398">
        <v>42000</v>
      </c>
      <c r="H21" s="398"/>
      <c r="I21" s="398"/>
      <c r="J21" s="602">
        <v>50000</v>
      </c>
      <c r="K21" s="4"/>
      <c r="L21" s="53"/>
      <c r="M21" s="65"/>
      <c r="N21" s="65"/>
      <c r="O21" s="69"/>
      <c r="P21" s="357" t="s">
        <v>233</v>
      </c>
      <c r="Q21" s="57">
        <f>J21</f>
        <v>50000</v>
      </c>
      <c r="R21" s="348"/>
      <c r="S21" s="57">
        <v>20000</v>
      </c>
      <c r="T21" s="70"/>
      <c r="U21" s="70"/>
      <c r="V21" s="70"/>
      <c r="W21" s="70"/>
    </row>
    <row r="22" spans="1:23" s="2" customFormat="1" ht="12.75" customHeight="1">
      <c r="A22" s="124">
        <v>1317</v>
      </c>
      <c r="B22" s="518" t="s">
        <v>176</v>
      </c>
      <c r="C22" s="430"/>
      <c r="D22" s="398">
        <v>37000</v>
      </c>
      <c r="E22" s="404"/>
      <c r="F22" s="404"/>
      <c r="G22" s="398"/>
      <c r="H22" s="398"/>
      <c r="I22" s="398"/>
      <c r="J22" s="602"/>
      <c r="K22" s="4"/>
      <c r="L22" s="53"/>
      <c r="M22" s="65"/>
      <c r="N22" s="65"/>
      <c r="O22" s="69"/>
      <c r="P22" s="357"/>
      <c r="Q22" s="57"/>
      <c r="R22" s="348"/>
      <c r="S22" s="57"/>
      <c r="T22" s="70"/>
      <c r="U22" s="70"/>
      <c r="V22" s="70"/>
      <c r="W22" s="70"/>
    </row>
    <row r="23" spans="1:23" s="2" customFormat="1" ht="12.75" customHeight="1">
      <c r="A23" s="124">
        <v>1313</v>
      </c>
      <c r="B23" s="518" t="s">
        <v>24</v>
      </c>
      <c r="C23" s="430">
        <v>40000</v>
      </c>
      <c r="D23" s="398">
        <v>37752</v>
      </c>
      <c r="E23" s="404">
        <f>C23</f>
        <v>40000</v>
      </c>
      <c r="F23" s="404">
        <v>33632</v>
      </c>
      <c r="G23" s="398">
        <v>60000</v>
      </c>
      <c r="H23" s="398"/>
      <c r="I23" s="398"/>
      <c r="J23" s="602">
        <v>60000</v>
      </c>
      <c r="K23" s="4"/>
      <c r="L23" s="53"/>
      <c r="M23" s="65"/>
      <c r="N23" s="65"/>
      <c r="O23" s="69"/>
      <c r="P23" s="357" t="s">
        <v>340</v>
      </c>
      <c r="Q23" s="57">
        <f aca="true" t="shared" si="0" ref="Q23:Q29">J23</f>
        <v>60000</v>
      </c>
      <c r="R23" s="348"/>
      <c r="S23" s="57"/>
      <c r="T23" s="70"/>
      <c r="U23" s="70"/>
      <c r="V23" s="70"/>
      <c r="W23" s="70"/>
    </row>
    <row r="24" spans="1:23" s="2" customFormat="1" ht="12.75" customHeight="1">
      <c r="A24" s="124">
        <v>1318</v>
      </c>
      <c r="B24" s="518" t="s">
        <v>25</v>
      </c>
      <c r="C24" s="430">
        <v>40000</v>
      </c>
      <c r="D24" s="398">
        <v>28894</v>
      </c>
      <c r="E24" s="404">
        <v>15265</v>
      </c>
      <c r="F24" s="404">
        <v>15801</v>
      </c>
      <c r="G24" s="398">
        <v>40000</v>
      </c>
      <c r="H24" s="398"/>
      <c r="I24" s="398"/>
      <c r="J24" s="602">
        <v>19000</v>
      </c>
      <c r="K24" s="4"/>
      <c r="L24" s="53"/>
      <c r="M24" s="65"/>
      <c r="N24" s="65"/>
      <c r="O24" s="69"/>
      <c r="P24" s="357" t="s">
        <v>236</v>
      </c>
      <c r="Q24" s="57">
        <f t="shared" si="0"/>
        <v>19000</v>
      </c>
      <c r="R24" s="348"/>
      <c r="S24" s="57">
        <v>16000</v>
      </c>
      <c r="T24" s="70"/>
      <c r="U24" s="70"/>
      <c r="V24" s="70"/>
      <c r="W24" s="70"/>
    </row>
    <row r="25" spans="1:23" s="2" customFormat="1" ht="12.75" customHeight="1">
      <c r="A25" s="124">
        <v>1311</v>
      </c>
      <c r="B25" s="518" t="s">
        <v>26</v>
      </c>
      <c r="C25" s="430">
        <v>120000</v>
      </c>
      <c r="D25" s="398">
        <v>135729</v>
      </c>
      <c r="E25" s="404">
        <v>127328</v>
      </c>
      <c r="F25" s="404">
        <v>117696</v>
      </c>
      <c r="G25" s="398">
        <v>130000</v>
      </c>
      <c r="H25" s="398"/>
      <c r="I25" s="398"/>
      <c r="J25" s="602">
        <v>130000</v>
      </c>
      <c r="K25" s="4"/>
      <c r="L25" s="53"/>
      <c r="M25" s="65"/>
      <c r="N25" s="65"/>
      <c r="O25" s="69"/>
      <c r="P25" s="357" t="s">
        <v>141</v>
      </c>
      <c r="Q25" s="57">
        <f t="shared" si="0"/>
        <v>130000</v>
      </c>
      <c r="R25" s="348"/>
      <c r="S25" s="57"/>
      <c r="T25" s="70"/>
      <c r="U25" s="70"/>
      <c r="V25" s="70"/>
      <c r="W25" s="70"/>
    </row>
    <row r="26" spans="1:23" s="2" customFormat="1" ht="12.75" customHeight="1">
      <c r="A26" s="124">
        <v>1500</v>
      </c>
      <c r="B26" s="518" t="s">
        <v>20</v>
      </c>
      <c r="C26" s="430">
        <v>402930</v>
      </c>
      <c r="D26" s="398">
        <v>452092</v>
      </c>
      <c r="E26" s="404">
        <v>510154</v>
      </c>
      <c r="F26" s="404">
        <v>628230</v>
      </c>
      <c r="G26" s="398"/>
      <c r="H26" s="398"/>
      <c r="I26" s="398"/>
      <c r="J26" s="602"/>
      <c r="K26" s="4"/>
      <c r="L26" s="53"/>
      <c r="M26" s="65"/>
      <c r="N26" s="65"/>
      <c r="O26" s="69"/>
      <c r="P26" s="357"/>
      <c r="Q26" s="57">
        <f t="shared" si="0"/>
        <v>0</v>
      </c>
      <c r="R26" s="348"/>
      <c r="S26" s="57"/>
      <c r="T26" s="70"/>
      <c r="U26" s="70"/>
      <c r="V26" s="70"/>
      <c r="W26" s="70"/>
    </row>
    <row r="27" spans="1:23" s="2" customFormat="1" ht="12.75" customHeight="1">
      <c r="A27" s="124">
        <v>1323</v>
      </c>
      <c r="B27" s="518" t="s">
        <v>40</v>
      </c>
      <c r="C27" s="430">
        <v>50000</v>
      </c>
      <c r="D27" s="398">
        <v>26825</v>
      </c>
      <c r="E27" s="404">
        <v>15397</v>
      </c>
      <c r="F27" s="404">
        <v>15397</v>
      </c>
      <c r="G27" s="398">
        <v>30000</v>
      </c>
      <c r="H27" s="398"/>
      <c r="I27" s="398"/>
      <c r="J27" s="602">
        <v>32000</v>
      </c>
      <c r="K27" s="4"/>
      <c r="L27" s="53"/>
      <c r="M27" s="65"/>
      <c r="N27" s="65"/>
      <c r="O27" s="69"/>
      <c r="P27" s="357" t="s">
        <v>238</v>
      </c>
      <c r="Q27" s="57">
        <f t="shared" si="0"/>
        <v>32000</v>
      </c>
      <c r="R27" s="348"/>
      <c r="S27" s="57">
        <v>12000</v>
      </c>
      <c r="T27" s="70"/>
      <c r="U27" s="70"/>
      <c r="V27" s="70"/>
      <c r="W27" s="70"/>
    </row>
    <row r="28" spans="1:23" s="2" customFormat="1" ht="12.75" customHeight="1">
      <c r="A28" s="124">
        <v>1324</v>
      </c>
      <c r="B28" s="518" t="s">
        <v>41</v>
      </c>
      <c r="C28" s="430">
        <v>30000</v>
      </c>
      <c r="D28" s="398">
        <v>64487</v>
      </c>
      <c r="E28" s="404">
        <f>C28</f>
        <v>30000</v>
      </c>
      <c r="F28" s="404">
        <v>42642</v>
      </c>
      <c r="G28" s="398">
        <v>60000</v>
      </c>
      <c r="H28" s="398"/>
      <c r="I28" s="398"/>
      <c r="J28" s="602">
        <v>70000</v>
      </c>
      <c r="K28" s="4"/>
      <c r="L28" s="53"/>
      <c r="M28" s="65"/>
      <c r="N28" s="65"/>
      <c r="O28" s="69"/>
      <c r="P28" s="357" t="s">
        <v>239</v>
      </c>
      <c r="Q28" s="57">
        <f t="shared" si="0"/>
        <v>70000</v>
      </c>
      <c r="R28" s="348"/>
      <c r="S28" s="57">
        <v>40000</v>
      </c>
      <c r="T28" s="70"/>
      <c r="U28" s="70"/>
      <c r="V28" s="70"/>
      <c r="W28" s="70"/>
    </row>
    <row r="29" spans="1:23" s="2" customFormat="1" ht="12.75" customHeight="1">
      <c r="A29" s="124">
        <v>1325</v>
      </c>
      <c r="B29" s="518" t="s">
        <v>177</v>
      </c>
      <c r="C29" s="430">
        <v>80000</v>
      </c>
      <c r="D29" s="398">
        <v>291326</v>
      </c>
      <c r="E29" s="404">
        <v>316888</v>
      </c>
      <c r="F29" s="404">
        <v>316888</v>
      </c>
      <c r="G29" s="398">
        <v>330000</v>
      </c>
      <c r="H29" s="398"/>
      <c r="I29" s="398"/>
      <c r="J29" s="602">
        <f>355000-50000</f>
        <v>305000</v>
      </c>
      <c r="K29" s="4"/>
      <c r="L29" s="53"/>
      <c r="M29" s="65"/>
      <c r="N29" s="65"/>
      <c r="O29" s="69"/>
      <c r="P29" s="357" t="s">
        <v>240</v>
      </c>
      <c r="Q29" s="57">
        <f t="shared" si="0"/>
        <v>305000</v>
      </c>
      <c r="R29" s="348"/>
      <c r="S29" s="57">
        <v>260000</v>
      </c>
      <c r="T29" s="70"/>
      <c r="U29" s="70"/>
      <c r="V29" s="70"/>
      <c r="W29" s="70"/>
    </row>
    <row r="30" spans="1:23" s="2" customFormat="1" ht="12.75" customHeight="1">
      <c r="A30" s="124"/>
      <c r="B30" s="535" t="s">
        <v>178</v>
      </c>
      <c r="C30" s="576"/>
      <c r="D30" s="577"/>
      <c r="E30" s="577">
        <v>50000</v>
      </c>
      <c r="F30" s="577">
        <v>50000</v>
      </c>
      <c r="G30" s="577"/>
      <c r="H30" s="577"/>
      <c r="I30" s="406"/>
      <c r="J30" s="602"/>
      <c r="K30" s="4"/>
      <c r="L30" s="53"/>
      <c r="M30" s="65"/>
      <c r="N30" s="65"/>
      <c r="O30" s="69"/>
      <c r="P30" s="357"/>
      <c r="Q30" s="57"/>
      <c r="R30" s="348"/>
      <c r="S30" s="57"/>
      <c r="T30" s="70"/>
      <c r="U30" s="70"/>
      <c r="V30" s="70"/>
      <c r="W30" s="70"/>
    </row>
    <row r="31" spans="1:23" s="2" customFormat="1" ht="12.75" customHeight="1">
      <c r="A31" s="124">
        <v>1312</v>
      </c>
      <c r="B31" s="592" t="s">
        <v>179</v>
      </c>
      <c r="C31" s="576">
        <v>370000</v>
      </c>
      <c r="D31" s="577">
        <v>246390</v>
      </c>
      <c r="E31" s="593">
        <f>C31</f>
        <v>370000</v>
      </c>
      <c r="F31" s="593">
        <v>309048</v>
      </c>
      <c r="G31" s="577">
        <v>370000</v>
      </c>
      <c r="H31" s="577"/>
      <c r="I31" s="398"/>
      <c r="J31" s="602">
        <v>270000</v>
      </c>
      <c r="K31" s="4"/>
      <c r="L31" s="53"/>
      <c r="M31" s="65"/>
      <c r="N31" s="65"/>
      <c r="O31" s="69"/>
      <c r="P31" s="357" t="s">
        <v>241</v>
      </c>
      <c r="Q31" s="57">
        <f aca="true" t="shared" si="1" ref="Q31:Q38">J31</f>
        <v>270000</v>
      </c>
      <c r="R31" s="348"/>
      <c r="S31" s="57"/>
      <c r="T31" s="70"/>
      <c r="U31" s="70"/>
      <c r="V31" s="70"/>
      <c r="W31" s="70"/>
    </row>
    <row r="32" spans="1:23" s="2" customFormat="1" ht="12.75" customHeight="1">
      <c r="A32" s="124"/>
      <c r="B32" s="592" t="s">
        <v>341</v>
      </c>
      <c r="C32" s="576"/>
      <c r="D32" s="577"/>
      <c r="E32" s="593"/>
      <c r="F32" s="593"/>
      <c r="G32" s="577"/>
      <c r="H32" s="577"/>
      <c r="I32" s="398"/>
      <c r="J32" s="602">
        <v>325000</v>
      </c>
      <c r="K32" s="4"/>
      <c r="L32" s="53"/>
      <c r="M32" s="65"/>
      <c r="N32" s="65"/>
      <c r="O32" s="69"/>
      <c r="P32" s="357" t="s">
        <v>243</v>
      </c>
      <c r="Q32" s="57">
        <f t="shared" si="1"/>
        <v>325000</v>
      </c>
      <c r="R32" s="348"/>
      <c r="S32" s="57">
        <v>250000</v>
      </c>
      <c r="T32" s="70"/>
      <c r="U32" s="70"/>
      <c r="V32" s="70"/>
      <c r="W32" s="70"/>
    </row>
    <row r="33" spans="1:23" s="2" customFormat="1" ht="12.75" customHeight="1">
      <c r="A33" s="124"/>
      <c r="B33" s="592" t="s">
        <v>245</v>
      </c>
      <c r="C33" s="576"/>
      <c r="D33" s="577"/>
      <c r="E33" s="593"/>
      <c r="F33" s="593"/>
      <c r="G33" s="577"/>
      <c r="H33" s="577"/>
      <c r="I33" s="398"/>
      <c r="J33" s="602"/>
      <c r="K33" s="4"/>
      <c r="L33" s="53"/>
      <c r="M33" s="65"/>
      <c r="N33" s="65"/>
      <c r="O33" s="69"/>
      <c r="P33" s="357"/>
      <c r="Q33" s="57">
        <f t="shared" si="1"/>
        <v>0</v>
      </c>
      <c r="R33" s="348"/>
      <c r="S33" s="57">
        <v>250000</v>
      </c>
      <c r="T33" s="70"/>
      <c r="U33" s="70"/>
      <c r="V33" s="70"/>
      <c r="W33" s="70"/>
    </row>
    <row r="34" spans="1:23" s="2" customFormat="1" ht="12.75" customHeight="1">
      <c r="A34" s="124">
        <v>1328</v>
      </c>
      <c r="B34" s="592" t="s">
        <v>44</v>
      </c>
      <c r="C34" s="576">
        <v>20000</v>
      </c>
      <c r="D34" s="577">
        <v>36664</v>
      </c>
      <c r="E34" s="593">
        <v>30050</v>
      </c>
      <c r="F34" s="593">
        <v>30050</v>
      </c>
      <c r="G34" s="577">
        <v>40000</v>
      </c>
      <c r="H34" s="577"/>
      <c r="I34" s="398"/>
      <c r="J34" s="602">
        <v>38000</v>
      </c>
      <c r="K34" s="4"/>
      <c r="L34" s="53"/>
      <c r="M34" s="65"/>
      <c r="N34" s="65"/>
      <c r="O34" s="69"/>
      <c r="P34" s="357" t="s">
        <v>244</v>
      </c>
      <c r="Q34" s="57">
        <f t="shared" si="1"/>
        <v>38000</v>
      </c>
      <c r="R34" s="348"/>
      <c r="S34" s="57">
        <v>24000</v>
      </c>
      <c r="T34" s="70"/>
      <c r="U34" s="70"/>
      <c r="V34" s="70"/>
      <c r="W34" s="70"/>
    </row>
    <row r="35" spans="1:23" s="2" customFormat="1" ht="12.75" customHeight="1">
      <c r="A35" s="124">
        <v>1316</v>
      </c>
      <c r="B35" s="592" t="s">
        <v>220</v>
      </c>
      <c r="C35" s="576">
        <v>60000</v>
      </c>
      <c r="D35" s="577">
        <v>148949</v>
      </c>
      <c r="E35" s="593">
        <v>38895</v>
      </c>
      <c r="F35" s="593">
        <v>38895</v>
      </c>
      <c r="G35" s="577">
        <v>50000</v>
      </c>
      <c r="H35" s="577"/>
      <c r="I35" s="398"/>
      <c r="J35" s="602">
        <v>60000</v>
      </c>
      <c r="K35" s="4"/>
      <c r="L35" s="53"/>
      <c r="M35" s="65"/>
      <c r="N35" s="65"/>
      <c r="O35" s="69"/>
      <c r="P35" s="357" t="s">
        <v>246</v>
      </c>
      <c r="Q35" s="57">
        <f t="shared" si="1"/>
        <v>60000</v>
      </c>
      <c r="R35" s="348"/>
      <c r="S35" s="57">
        <v>20000</v>
      </c>
      <c r="T35" s="70"/>
      <c r="U35" s="70"/>
      <c r="V35" s="70"/>
      <c r="W35" s="70"/>
    </row>
    <row r="36" spans="1:23" s="2" customFormat="1" ht="12.75" customHeight="1">
      <c r="A36" s="124">
        <v>1208</v>
      </c>
      <c r="B36" s="592" t="s">
        <v>180</v>
      </c>
      <c r="C36" s="576">
        <v>50000</v>
      </c>
      <c r="D36" s="577">
        <v>145055</v>
      </c>
      <c r="E36" s="593">
        <f>C36</f>
        <v>50000</v>
      </c>
      <c r="F36" s="593">
        <v>184574</v>
      </c>
      <c r="G36" s="577">
        <v>140000</v>
      </c>
      <c r="H36" s="577"/>
      <c r="I36" s="398"/>
      <c r="J36" s="602">
        <v>155000</v>
      </c>
      <c r="K36" s="4"/>
      <c r="L36" s="53"/>
      <c r="M36" s="65"/>
      <c r="N36" s="65"/>
      <c r="O36" s="69"/>
      <c r="P36" s="357" t="s">
        <v>248</v>
      </c>
      <c r="Q36" s="57">
        <f t="shared" si="1"/>
        <v>155000</v>
      </c>
      <c r="R36" s="348"/>
      <c r="S36" s="57">
        <v>90000</v>
      </c>
      <c r="T36" s="70"/>
      <c r="U36" s="70"/>
      <c r="V36" s="70"/>
      <c r="W36" s="70"/>
    </row>
    <row r="37" spans="1:23" s="2" customFormat="1" ht="12.75" customHeight="1">
      <c r="A37" s="124">
        <v>1322</v>
      </c>
      <c r="B37" s="592" t="s">
        <v>221</v>
      </c>
      <c r="C37" s="576"/>
      <c r="D37" s="577"/>
      <c r="E37" s="593"/>
      <c r="F37" s="593"/>
      <c r="G37" s="577">
        <v>95000</v>
      </c>
      <c r="H37" s="577"/>
      <c r="I37" s="398"/>
      <c r="J37" s="602">
        <v>96000</v>
      </c>
      <c r="K37" s="4"/>
      <c r="L37" s="53"/>
      <c r="M37" s="65"/>
      <c r="N37" s="65"/>
      <c r="O37" s="69"/>
      <c r="P37" s="357" t="s">
        <v>249</v>
      </c>
      <c r="Q37" s="57">
        <f t="shared" si="1"/>
        <v>96000</v>
      </c>
      <c r="R37" s="348"/>
      <c r="S37" s="57">
        <v>45000</v>
      </c>
      <c r="T37" s="70"/>
      <c r="U37" s="70"/>
      <c r="V37" s="70"/>
      <c r="W37" s="70"/>
    </row>
    <row r="38" spans="1:23" s="2" customFormat="1" ht="12.75" customHeight="1">
      <c r="A38" s="124">
        <v>1321</v>
      </c>
      <c r="B38" s="592" t="s">
        <v>181</v>
      </c>
      <c r="C38" s="576">
        <v>15000</v>
      </c>
      <c r="D38" s="577">
        <v>15013</v>
      </c>
      <c r="E38" s="593">
        <f>C38</f>
        <v>15000</v>
      </c>
      <c r="F38" s="593">
        <v>15211</v>
      </c>
      <c r="G38" s="577">
        <v>15000</v>
      </c>
      <c r="H38" s="577"/>
      <c r="I38" s="398"/>
      <c r="J38" s="602">
        <v>15000</v>
      </c>
      <c r="K38" s="4"/>
      <c r="L38" s="53"/>
      <c r="M38" s="65"/>
      <c r="N38" s="65"/>
      <c r="O38" s="69"/>
      <c r="P38" s="357" t="s">
        <v>247</v>
      </c>
      <c r="Q38" s="57">
        <f t="shared" si="1"/>
        <v>15000</v>
      </c>
      <c r="R38" s="348"/>
      <c r="S38" s="57"/>
      <c r="T38" s="70"/>
      <c r="U38" s="70"/>
      <c r="V38" s="70"/>
      <c r="W38" s="70"/>
    </row>
    <row r="39" spans="1:23" s="2" customFormat="1" ht="12.75" customHeight="1">
      <c r="A39" s="124">
        <v>1304</v>
      </c>
      <c r="B39" s="592" t="s">
        <v>45</v>
      </c>
      <c r="C39" s="576">
        <v>20000</v>
      </c>
      <c r="D39" s="577">
        <v>9000</v>
      </c>
      <c r="E39" s="593">
        <f>C39</f>
        <v>20000</v>
      </c>
      <c r="F39" s="593">
        <v>20602</v>
      </c>
      <c r="G39" s="577"/>
      <c r="H39" s="577"/>
      <c r="I39" s="398"/>
      <c r="J39" s="602"/>
      <c r="K39" s="4"/>
      <c r="L39" s="53"/>
      <c r="M39" s="65"/>
      <c r="N39" s="65"/>
      <c r="O39" s="69"/>
      <c r="P39" s="357"/>
      <c r="Q39" s="57"/>
      <c r="R39" s="348"/>
      <c r="S39" s="57"/>
      <c r="T39" s="70"/>
      <c r="U39" s="70"/>
      <c r="V39" s="70"/>
      <c r="W39" s="70"/>
    </row>
    <row r="40" spans="1:23" s="2" customFormat="1" ht="12.75" customHeight="1">
      <c r="A40" s="124">
        <v>1320</v>
      </c>
      <c r="B40" s="592" t="s">
        <v>182</v>
      </c>
      <c r="C40" s="576">
        <v>50000</v>
      </c>
      <c r="D40" s="577">
        <v>5500</v>
      </c>
      <c r="E40" s="593">
        <v>54436</v>
      </c>
      <c r="F40" s="593">
        <v>54436</v>
      </c>
      <c r="G40" s="577">
        <v>80000</v>
      </c>
      <c r="H40" s="577"/>
      <c r="I40" s="398"/>
      <c r="J40" s="602">
        <v>80000</v>
      </c>
      <c r="K40" s="4"/>
      <c r="L40" s="53"/>
      <c r="M40" s="65"/>
      <c r="N40" s="65"/>
      <c r="O40" s="69"/>
      <c r="P40" s="357" t="s">
        <v>250</v>
      </c>
      <c r="Q40" s="57">
        <f>J40</f>
        <v>80000</v>
      </c>
      <c r="R40" s="348"/>
      <c r="S40" s="57">
        <v>30000</v>
      </c>
      <c r="T40" s="70"/>
      <c r="U40" s="70"/>
      <c r="V40" s="70"/>
      <c r="W40" s="70"/>
    </row>
    <row r="41" spans="1:23" s="2" customFormat="1" ht="12.75" customHeight="1">
      <c r="A41" s="124"/>
      <c r="B41" s="592" t="s">
        <v>183</v>
      </c>
      <c r="C41" s="576"/>
      <c r="D41" s="577"/>
      <c r="E41" s="593">
        <v>10000</v>
      </c>
      <c r="F41" s="593">
        <v>10000</v>
      </c>
      <c r="G41" s="577"/>
      <c r="H41" s="577"/>
      <c r="I41" s="406"/>
      <c r="J41" s="602"/>
      <c r="K41" s="4"/>
      <c r="L41" s="53"/>
      <c r="M41" s="65"/>
      <c r="N41" s="65"/>
      <c r="O41" s="69"/>
      <c r="P41" s="357"/>
      <c r="Q41" s="57"/>
      <c r="R41" s="348"/>
      <c r="S41" s="57"/>
      <c r="T41" s="70"/>
      <c r="U41" s="70"/>
      <c r="V41" s="70"/>
      <c r="W41" s="70"/>
    </row>
    <row r="42" spans="1:23" s="2" customFormat="1" ht="12.75" customHeight="1">
      <c r="A42" s="124">
        <v>1305</v>
      </c>
      <c r="B42" s="592" t="s">
        <v>343</v>
      </c>
      <c r="C42" s="576">
        <v>20000</v>
      </c>
      <c r="D42" s="577">
        <v>19921</v>
      </c>
      <c r="E42" s="593">
        <f>C42</f>
        <v>20000</v>
      </c>
      <c r="F42" s="593">
        <v>12524</v>
      </c>
      <c r="G42" s="577">
        <v>20000</v>
      </c>
      <c r="H42" s="577"/>
      <c r="I42" s="398"/>
      <c r="J42" s="602">
        <v>10000</v>
      </c>
      <c r="K42" s="4"/>
      <c r="L42" s="53"/>
      <c r="M42" s="65"/>
      <c r="N42" s="65"/>
      <c r="O42" s="69"/>
      <c r="P42" s="357" t="s">
        <v>146</v>
      </c>
      <c r="Q42" s="57">
        <f>J42</f>
        <v>10000</v>
      </c>
      <c r="R42" s="348"/>
      <c r="S42" s="57"/>
      <c r="T42" s="70"/>
      <c r="U42" s="70"/>
      <c r="V42" s="70"/>
      <c r="W42" s="70"/>
    </row>
    <row r="43" spans="1:23" s="2" customFormat="1" ht="12.75" customHeight="1">
      <c r="A43" s="124">
        <v>1905</v>
      </c>
      <c r="B43" s="592" t="s">
        <v>186</v>
      </c>
      <c r="C43" s="576"/>
      <c r="D43" s="577"/>
      <c r="E43" s="593">
        <v>40000</v>
      </c>
      <c r="F43" s="593">
        <v>85118</v>
      </c>
      <c r="G43" s="577">
        <v>90000</v>
      </c>
      <c r="H43" s="577"/>
      <c r="I43" s="406"/>
      <c r="J43" s="602">
        <v>80000</v>
      </c>
      <c r="K43" s="4"/>
      <c r="L43" s="53"/>
      <c r="M43" s="65"/>
      <c r="N43" s="65"/>
      <c r="O43" s="69"/>
      <c r="P43" s="357" t="s">
        <v>255</v>
      </c>
      <c r="Q43" s="57"/>
      <c r="R43" s="348"/>
      <c r="S43" s="57"/>
      <c r="T43" s="70"/>
      <c r="U43" s="70"/>
      <c r="V43" s="70"/>
      <c r="W43" s="70"/>
    </row>
    <row r="44" spans="1:23" s="2" customFormat="1" ht="12.75" customHeight="1">
      <c r="A44" s="124"/>
      <c r="B44" s="592" t="s">
        <v>308</v>
      </c>
      <c r="C44" s="576"/>
      <c r="D44" s="577"/>
      <c r="E44" s="593">
        <v>15000</v>
      </c>
      <c r="F44" s="593">
        <v>15000</v>
      </c>
      <c r="G44" s="577"/>
      <c r="H44" s="577"/>
      <c r="I44" s="406"/>
      <c r="J44" s="602"/>
      <c r="K44" s="4"/>
      <c r="L44" s="53"/>
      <c r="M44" s="65"/>
      <c r="N44" s="65"/>
      <c r="O44" s="69"/>
      <c r="P44" s="357"/>
      <c r="Q44" s="57"/>
      <c r="R44" s="348"/>
      <c r="S44" s="57"/>
      <c r="T44" s="70"/>
      <c r="U44" s="70"/>
      <c r="V44" s="70"/>
      <c r="W44" s="70"/>
    </row>
    <row r="45" spans="1:23" s="2" customFormat="1" ht="12.75" customHeight="1">
      <c r="A45" s="124"/>
      <c r="B45" s="592" t="s">
        <v>317</v>
      </c>
      <c r="C45" s="576"/>
      <c r="D45" s="577"/>
      <c r="E45" s="593"/>
      <c r="F45" s="593">
        <v>86701</v>
      </c>
      <c r="G45" s="577">
        <v>210000</v>
      </c>
      <c r="H45" s="577"/>
      <c r="I45" s="406"/>
      <c r="J45" s="602">
        <v>106000</v>
      </c>
      <c r="K45" s="4"/>
      <c r="L45" s="53"/>
      <c r="M45" s="65"/>
      <c r="N45" s="65"/>
      <c r="O45" s="69"/>
      <c r="P45" s="357" t="s">
        <v>251</v>
      </c>
      <c r="Q45" s="57"/>
      <c r="R45" s="348"/>
      <c r="S45" s="57"/>
      <c r="T45" s="70"/>
      <c r="U45" s="70"/>
      <c r="V45" s="70"/>
      <c r="W45" s="70"/>
    </row>
    <row r="46" spans="1:23" s="2" customFormat="1" ht="12.75" customHeight="1">
      <c r="A46" s="124"/>
      <c r="B46" s="592" t="s">
        <v>254</v>
      </c>
      <c r="C46" s="576"/>
      <c r="D46" s="577"/>
      <c r="E46" s="593"/>
      <c r="F46" s="593"/>
      <c r="G46" s="577">
        <v>90000</v>
      </c>
      <c r="H46" s="577"/>
      <c r="I46" s="406"/>
      <c r="J46" s="602"/>
      <c r="K46" s="4"/>
      <c r="L46" s="53"/>
      <c r="M46" s="65"/>
      <c r="N46" s="65"/>
      <c r="O46" s="69"/>
      <c r="P46" s="357"/>
      <c r="Q46" s="57">
        <f>J46</f>
        <v>0</v>
      </c>
      <c r="R46" s="348"/>
      <c r="S46" s="57"/>
      <c r="T46" s="70"/>
      <c r="U46" s="70"/>
      <c r="V46" s="70"/>
      <c r="W46" s="70"/>
    </row>
    <row r="47" spans="1:23" s="2" customFormat="1" ht="12.75" customHeight="1">
      <c r="A47" s="124"/>
      <c r="B47" s="592" t="s">
        <v>342</v>
      </c>
      <c r="C47" s="576"/>
      <c r="D47" s="577"/>
      <c r="E47" s="593"/>
      <c r="F47" s="593"/>
      <c r="G47" s="577"/>
      <c r="H47" s="577"/>
      <c r="I47" s="406"/>
      <c r="J47" s="602">
        <v>20000</v>
      </c>
      <c r="K47" s="4"/>
      <c r="L47" s="53"/>
      <c r="M47" s="65"/>
      <c r="N47" s="65"/>
      <c r="O47" s="69"/>
      <c r="P47" s="357" t="s">
        <v>252</v>
      </c>
      <c r="Q47" s="57">
        <f>J47</f>
        <v>20000</v>
      </c>
      <c r="R47" s="348"/>
      <c r="S47" s="57"/>
      <c r="T47" s="70"/>
      <c r="U47" s="70"/>
      <c r="V47" s="70"/>
      <c r="W47" s="70"/>
    </row>
    <row r="48" spans="1:23" s="2" customFormat="1" ht="12.75" customHeight="1">
      <c r="A48" s="124"/>
      <c r="B48" s="592" t="s">
        <v>344</v>
      </c>
      <c r="C48" s="576"/>
      <c r="D48" s="577"/>
      <c r="E48" s="593"/>
      <c r="F48" s="593"/>
      <c r="G48" s="577"/>
      <c r="H48" s="577"/>
      <c r="I48" s="406"/>
      <c r="J48" s="602">
        <v>10000</v>
      </c>
      <c r="K48" s="4"/>
      <c r="L48" s="53"/>
      <c r="M48" s="65"/>
      <c r="N48" s="65"/>
      <c r="O48" s="69"/>
      <c r="P48" s="357" t="s">
        <v>258</v>
      </c>
      <c r="Q48" s="57">
        <f>J48</f>
        <v>10000</v>
      </c>
      <c r="R48" s="348"/>
      <c r="S48" s="57"/>
      <c r="T48" s="70"/>
      <c r="U48" s="70"/>
      <c r="V48" s="70"/>
      <c r="W48" s="70"/>
    </row>
    <row r="49" spans="1:23" s="2" customFormat="1" ht="12.75" customHeight="1">
      <c r="A49" s="124"/>
      <c r="B49" s="592" t="s">
        <v>225</v>
      </c>
      <c r="C49" s="576"/>
      <c r="D49" s="577"/>
      <c r="E49" s="593"/>
      <c r="F49" s="593"/>
      <c r="G49" s="577"/>
      <c r="H49" s="577"/>
      <c r="I49" s="398"/>
      <c r="J49" s="602"/>
      <c r="K49" s="4"/>
      <c r="L49" s="53"/>
      <c r="M49" s="65"/>
      <c r="N49" s="65"/>
      <c r="O49" s="69"/>
      <c r="P49" s="357"/>
      <c r="Q49" s="57">
        <f>J49</f>
        <v>0</v>
      </c>
      <c r="R49" s="57"/>
      <c r="S49" s="57"/>
      <c r="T49" s="70"/>
      <c r="U49" s="70"/>
      <c r="V49" s="70"/>
      <c r="W49" s="70"/>
    </row>
    <row r="50" spans="1:23" s="2" customFormat="1" ht="12.75" customHeight="1">
      <c r="A50" s="124"/>
      <c r="B50" s="592" t="s">
        <v>226</v>
      </c>
      <c r="C50" s="576"/>
      <c r="D50" s="577"/>
      <c r="E50" s="593"/>
      <c r="F50" s="593"/>
      <c r="G50" s="577"/>
      <c r="H50" s="577"/>
      <c r="I50" s="398"/>
      <c r="J50" s="602"/>
      <c r="K50" s="4"/>
      <c r="L50" s="53"/>
      <c r="M50" s="65"/>
      <c r="N50" s="65"/>
      <c r="O50" s="69"/>
      <c r="P50" s="357"/>
      <c r="Q50" s="57">
        <f>J50</f>
        <v>0</v>
      </c>
      <c r="R50" s="57"/>
      <c r="S50" s="57"/>
      <c r="T50" s="70"/>
      <c r="U50" s="70"/>
      <c r="V50" s="70"/>
      <c r="W50" s="70"/>
    </row>
    <row r="51" spans="1:23" s="2" customFormat="1" ht="12.75" customHeight="1">
      <c r="A51" s="124"/>
      <c r="B51" s="592" t="s">
        <v>184</v>
      </c>
      <c r="C51" s="576"/>
      <c r="D51" s="577">
        <v>57000</v>
      </c>
      <c r="E51" s="593"/>
      <c r="F51" s="593"/>
      <c r="G51" s="577"/>
      <c r="H51" s="577"/>
      <c r="I51" s="398"/>
      <c r="J51" s="602">
        <v>0</v>
      </c>
      <c r="K51" s="4"/>
      <c r="L51" s="53"/>
      <c r="M51" s="65"/>
      <c r="N51" s="65"/>
      <c r="O51" s="69"/>
      <c r="P51" s="357"/>
      <c r="Q51" s="57"/>
      <c r="R51" s="57"/>
      <c r="S51" s="57"/>
      <c r="T51" s="70"/>
      <c r="U51" s="70"/>
      <c r="V51" s="70"/>
      <c r="W51" s="70"/>
    </row>
    <row r="52" spans="1:23" s="2" customFormat="1" ht="12.75" customHeight="1">
      <c r="A52" s="124"/>
      <c r="B52" s="518" t="s">
        <v>185</v>
      </c>
      <c r="C52" s="430"/>
      <c r="D52" s="398">
        <v>393700</v>
      </c>
      <c r="E52" s="404"/>
      <c r="F52" s="397">
        <v>130800</v>
      </c>
      <c r="G52" s="398"/>
      <c r="H52" s="398"/>
      <c r="I52" s="398"/>
      <c r="J52" s="602"/>
      <c r="K52" s="4"/>
      <c r="L52" s="53"/>
      <c r="M52" s="65"/>
      <c r="N52" s="65"/>
      <c r="O52" s="69"/>
      <c r="P52" s="357"/>
      <c r="Q52" s="57"/>
      <c r="R52" s="57"/>
      <c r="S52" s="57"/>
      <c r="T52" s="70"/>
      <c r="U52" s="70"/>
      <c r="V52" s="70"/>
      <c r="W52" s="70"/>
    </row>
    <row r="53" spans="1:23" s="2" customFormat="1" ht="12.75" customHeight="1">
      <c r="A53" s="124"/>
      <c r="B53" s="518" t="s">
        <v>318</v>
      </c>
      <c r="C53" s="430">
        <v>30262</v>
      </c>
      <c r="D53" s="398"/>
      <c r="E53" s="404">
        <f>C53</f>
        <v>30262</v>
      </c>
      <c r="F53" s="404">
        <v>13469</v>
      </c>
      <c r="G53" s="398">
        <v>37644</v>
      </c>
      <c r="H53" s="398"/>
      <c r="I53" s="406"/>
      <c r="J53" s="602"/>
      <c r="K53" s="4"/>
      <c r="L53" s="53"/>
      <c r="M53" s="65"/>
      <c r="N53" s="65"/>
      <c r="O53" s="69"/>
      <c r="P53" s="357"/>
      <c r="Q53" s="57"/>
      <c r="R53" s="57"/>
      <c r="S53" s="57"/>
      <c r="T53" s="70"/>
      <c r="U53" s="70"/>
      <c r="V53" s="70"/>
      <c r="W53" s="70"/>
    </row>
    <row r="54" spans="1:23" s="2" customFormat="1" ht="12.75" customHeight="1">
      <c r="A54" s="124"/>
      <c r="B54" s="518" t="s">
        <v>189</v>
      </c>
      <c r="C54" s="431">
        <v>162594</v>
      </c>
      <c r="D54" s="398"/>
      <c r="E54" s="404">
        <f>C54</f>
        <v>162594</v>
      </c>
      <c r="F54" s="404">
        <v>158546</v>
      </c>
      <c r="G54" s="398">
        <v>677600</v>
      </c>
      <c r="H54" s="398"/>
      <c r="I54" s="406"/>
      <c r="J54" s="602"/>
      <c r="K54" s="4"/>
      <c r="L54" s="53"/>
      <c r="M54" s="65"/>
      <c r="N54" s="65"/>
      <c r="O54" s="69"/>
      <c r="P54" s="357"/>
      <c r="Q54" s="57"/>
      <c r="R54" s="57"/>
      <c r="S54" s="57"/>
      <c r="T54" s="70"/>
      <c r="U54" s="70"/>
      <c r="V54" s="70"/>
      <c r="W54" s="70"/>
    </row>
    <row r="55" spans="1:23" s="2" customFormat="1" ht="12.75" customHeight="1" thickBot="1">
      <c r="A55" s="124"/>
      <c r="B55" s="536" t="s">
        <v>157</v>
      </c>
      <c r="C55" s="432">
        <v>727935</v>
      </c>
      <c r="D55" s="408">
        <v>710944</v>
      </c>
      <c r="E55" s="407">
        <f>C55</f>
        <v>727935</v>
      </c>
      <c r="F55" s="407">
        <v>680479</v>
      </c>
      <c r="G55" s="408">
        <v>749468</v>
      </c>
      <c r="H55" s="408"/>
      <c r="I55" s="408"/>
      <c r="J55" s="603">
        <f>830651-J119</f>
        <v>805885</v>
      </c>
      <c r="K55" s="4"/>
      <c r="L55" s="26"/>
      <c r="M55" s="81"/>
      <c r="N55" s="81"/>
      <c r="O55" s="69"/>
      <c r="P55" s="359" t="s">
        <v>293</v>
      </c>
      <c r="Q55" s="57"/>
      <c r="R55" s="57"/>
      <c r="S55" s="57"/>
      <c r="T55" s="70"/>
      <c r="U55" s="70"/>
      <c r="V55" s="70"/>
      <c r="W55" s="70"/>
    </row>
    <row r="56" spans="1:19" s="11" customFormat="1" ht="14.25" thickBot="1">
      <c r="A56" s="124"/>
      <c r="B56" s="434" t="s">
        <v>2</v>
      </c>
      <c r="C56" s="433">
        <f>SUM(C7:C55)</f>
        <v>12493975</v>
      </c>
      <c r="D56" s="360">
        <f>SUM(D7:D55)</f>
        <v>12469547</v>
      </c>
      <c r="E56" s="44">
        <f>SUM(E7:E55)</f>
        <v>12888766</v>
      </c>
      <c r="F56" s="44">
        <f>SUM(F7:F55)</f>
        <v>12963019</v>
      </c>
      <c r="G56" s="360">
        <f>SUM(G7:G55)</f>
        <v>13681193</v>
      </c>
      <c r="H56" s="360"/>
      <c r="I56" s="360">
        <f>SUM(I7:I55)</f>
        <v>0</v>
      </c>
      <c r="J56" s="425">
        <f>SUM(J7:J55)</f>
        <v>15095546</v>
      </c>
      <c r="K56" s="5"/>
      <c r="L56" s="56"/>
      <c r="M56" s="82"/>
      <c r="N56" s="82"/>
      <c r="O56" s="83"/>
      <c r="P56" s="124"/>
      <c r="Q56" s="512">
        <f>SUM(Q12:Q55)</f>
        <v>3009500</v>
      </c>
      <c r="R56" s="7"/>
      <c r="S56" s="512">
        <f>SUM(S12:S55)</f>
        <v>1057000</v>
      </c>
    </row>
    <row r="57" spans="1:22" ht="15.75" thickBot="1">
      <c r="A57" s="347"/>
      <c r="B57" s="361"/>
      <c r="C57" s="13"/>
      <c r="D57" s="362"/>
      <c r="E57" s="22"/>
      <c r="F57" s="22"/>
      <c r="G57" s="362"/>
      <c r="H57" s="362"/>
      <c r="I57" s="362"/>
      <c r="J57" s="604"/>
      <c r="K57" s="4"/>
      <c r="L57" s="64"/>
      <c r="M57" s="65"/>
      <c r="N57" s="65"/>
      <c r="O57" s="33"/>
      <c r="Q57" s="7"/>
      <c r="R57" s="7"/>
      <c r="S57" s="7"/>
      <c r="T57" s="10"/>
      <c r="U57" s="10"/>
      <c r="V57" s="10"/>
    </row>
    <row r="58" spans="2:22" ht="15.75" thickBot="1">
      <c r="B58" s="363" t="s">
        <v>3</v>
      </c>
      <c r="C58" s="14"/>
      <c r="D58" s="362"/>
      <c r="E58" s="22"/>
      <c r="F58" s="22"/>
      <c r="G58" s="362"/>
      <c r="H58" s="362"/>
      <c r="I58" s="362"/>
      <c r="J58" s="604"/>
      <c r="K58" s="14"/>
      <c r="L58" s="64"/>
      <c r="M58" s="65"/>
      <c r="N58" s="65"/>
      <c r="O58" s="33"/>
      <c r="Q58" s="7"/>
      <c r="R58" s="7"/>
      <c r="S58" s="7"/>
      <c r="T58" s="10"/>
      <c r="U58" s="5"/>
      <c r="V58" s="10"/>
    </row>
    <row r="59" spans="1:22" s="2" customFormat="1" ht="12.75" customHeight="1">
      <c r="A59" s="124"/>
      <c r="B59" s="525" t="s">
        <v>11</v>
      </c>
      <c r="C59" s="444">
        <v>2500000</v>
      </c>
      <c r="D59" s="437">
        <v>2882256</v>
      </c>
      <c r="E59" s="436">
        <f>C59</f>
        <v>2500000</v>
      </c>
      <c r="F59" s="436">
        <v>2548002</v>
      </c>
      <c r="G59" s="437">
        <v>2680000</v>
      </c>
      <c r="H59" s="437"/>
      <c r="I59" s="437"/>
      <c r="J59" s="605">
        <v>2948000</v>
      </c>
      <c r="K59" s="26"/>
      <c r="L59" s="30"/>
      <c r="M59" s="65"/>
      <c r="N59" s="65"/>
      <c r="O59" s="69"/>
      <c r="P59" s="356"/>
      <c r="Q59" s="57"/>
      <c r="R59" s="16"/>
      <c r="S59" s="57"/>
      <c r="T59" s="69"/>
      <c r="U59" s="69"/>
      <c r="V59" s="69"/>
    </row>
    <row r="60" spans="1:22" s="2" customFormat="1" ht="12.75" customHeight="1">
      <c r="A60" s="124"/>
      <c r="B60" s="526" t="s">
        <v>227</v>
      </c>
      <c r="C60" s="426"/>
      <c r="D60" s="411"/>
      <c r="E60" s="496"/>
      <c r="F60" s="496"/>
      <c r="G60" s="411"/>
      <c r="H60" s="411"/>
      <c r="I60" s="411"/>
      <c r="J60" s="601"/>
      <c r="K60" s="26"/>
      <c r="L60" s="30"/>
      <c r="M60" s="65"/>
      <c r="N60" s="65"/>
      <c r="O60" s="69"/>
      <c r="P60" s="414"/>
      <c r="Q60" s="57"/>
      <c r="R60" s="16"/>
      <c r="S60" s="57"/>
      <c r="T60" s="69"/>
      <c r="U60" s="69"/>
      <c r="V60" s="69"/>
    </row>
    <row r="61" spans="1:22" s="2" customFormat="1" ht="12.75" customHeight="1">
      <c r="A61" s="124"/>
      <c r="B61" s="527" t="s">
        <v>190</v>
      </c>
      <c r="C61" s="427">
        <v>162594</v>
      </c>
      <c r="D61" s="398"/>
      <c r="E61" s="439">
        <f>C61</f>
        <v>162594</v>
      </c>
      <c r="F61" s="439">
        <v>158546</v>
      </c>
      <c r="G61" s="398">
        <v>677600</v>
      </c>
      <c r="H61" s="398"/>
      <c r="I61" s="406"/>
      <c r="J61" s="602"/>
      <c r="K61" s="26"/>
      <c r="L61" s="30"/>
      <c r="M61" s="65"/>
      <c r="N61" s="65"/>
      <c r="O61" s="69"/>
      <c r="P61" s="357"/>
      <c r="Q61" s="57"/>
      <c r="R61" s="16"/>
      <c r="S61" s="57"/>
      <c r="T61" s="69"/>
      <c r="U61" s="69"/>
      <c r="V61" s="69"/>
    </row>
    <row r="62" spans="1:22" s="2" customFormat="1" ht="12.75" customHeight="1">
      <c r="A62" s="124"/>
      <c r="B62" s="527" t="s">
        <v>192</v>
      </c>
      <c r="C62" s="430">
        <v>30262</v>
      </c>
      <c r="D62" s="398"/>
      <c r="E62" s="439">
        <f>C62</f>
        <v>30262</v>
      </c>
      <c r="F62" s="439">
        <v>0</v>
      </c>
      <c r="G62" s="398">
        <v>37644</v>
      </c>
      <c r="H62" s="398"/>
      <c r="I62" s="406"/>
      <c r="J62" s="602"/>
      <c r="K62" s="53"/>
      <c r="L62" s="30"/>
      <c r="M62" s="65"/>
      <c r="N62" s="65"/>
      <c r="O62" s="69"/>
      <c r="P62" s="357"/>
      <c r="Q62" s="57"/>
      <c r="R62" s="16"/>
      <c r="S62" s="57"/>
      <c r="T62" s="69"/>
      <c r="U62" s="69"/>
      <c r="V62" s="69"/>
    </row>
    <row r="63" spans="1:22" s="2" customFormat="1" ht="12.75" customHeight="1">
      <c r="A63" s="124"/>
      <c r="B63" s="527" t="s">
        <v>12</v>
      </c>
      <c r="C63" s="427">
        <v>20000</v>
      </c>
      <c r="D63" s="398">
        <v>2635</v>
      </c>
      <c r="E63" s="439">
        <f>C63</f>
        <v>20000</v>
      </c>
      <c r="F63" s="439">
        <v>18863</v>
      </c>
      <c r="G63" s="398">
        <v>21000</v>
      </c>
      <c r="H63" s="398"/>
      <c r="I63" s="398"/>
      <c r="J63" s="602">
        <v>23100</v>
      </c>
      <c r="K63" s="26"/>
      <c r="L63" s="30"/>
      <c r="M63" s="65"/>
      <c r="N63" s="65"/>
      <c r="O63" s="69"/>
      <c r="P63" s="357"/>
      <c r="Q63" s="57"/>
      <c r="R63" s="16" t="s">
        <v>263</v>
      </c>
      <c r="S63" s="57"/>
      <c r="T63" s="69"/>
      <c r="U63" s="69"/>
      <c r="V63" s="69"/>
    </row>
    <row r="64" spans="1:22" s="2" customFormat="1" ht="12.75" customHeight="1">
      <c r="A64" s="124"/>
      <c r="B64" s="541" t="s">
        <v>4</v>
      </c>
      <c r="C64" s="542">
        <v>7365189</v>
      </c>
      <c r="D64" s="543">
        <v>6381243</v>
      </c>
      <c r="E64" s="544">
        <v>7425365</v>
      </c>
      <c r="F64" s="544">
        <v>7425365</v>
      </c>
      <c r="G64" s="543">
        <v>7644949</v>
      </c>
      <c r="H64" s="543"/>
      <c r="I64" s="543"/>
      <c r="J64" s="606">
        <f>9789446-210000</f>
        <v>9579446</v>
      </c>
      <c r="K64" s="53"/>
      <c r="L64" s="30"/>
      <c r="M64" s="65"/>
      <c r="N64" s="65"/>
      <c r="O64" s="69"/>
      <c r="P64" s="357"/>
      <c r="Q64" s="57"/>
      <c r="R64" s="16"/>
      <c r="S64" s="57"/>
      <c r="T64" s="69"/>
      <c r="U64" s="69"/>
      <c r="V64" s="5"/>
    </row>
    <row r="65" spans="1:22" s="2" customFormat="1" ht="12.75" customHeight="1">
      <c r="A65" s="124"/>
      <c r="B65" s="580" t="s">
        <v>266</v>
      </c>
      <c r="C65" s="581">
        <v>950000</v>
      </c>
      <c r="D65" s="582">
        <v>950000</v>
      </c>
      <c r="E65" s="583">
        <f>C65</f>
        <v>950000</v>
      </c>
      <c r="F65" s="583">
        <v>950000</v>
      </c>
      <c r="G65" s="582">
        <v>950000</v>
      </c>
      <c r="H65" s="582"/>
      <c r="I65" s="582"/>
      <c r="J65" s="607">
        <v>1050000</v>
      </c>
      <c r="K65" s="53"/>
      <c r="L65" s="30"/>
      <c r="M65" s="65"/>
      <c r="N65" s="65"/>
      <c r="O65" s="69"/>
      <c r="P65" s="357"/>
      <c r="Q65" s="57"/>
      <c r="R65" s="16">
        <f>J65</f>
        <v>1050000</v>
      </c>
      <c r="S65" s="57"/>
      <c r="T65" s="69"/>
      <c r="U65" s="69"/>
      <c r="V65" s="69"/>
    </row>
    <row r="66" spans="1:22" s="2" customFormat="1" ht="12.75" customHeight="1">
      <c r="A66" s="124"/>
      <c r="B66" s="579" t="s">
        <v>311</v>
      </c>
      <c r="C66" s="576"/>
      <c r="D66" s="620"/>
      <c r="E66" s="578">
        <v>130000</v>
      </c>
      <c r="F66" s="578">
        <v>130000</v>
      </c>
      <c r="G66" s="620"/>
      <c r="H66" s="620"/>
      <c r="I66" s="620"/>
      <c r="J66" s="623"/>
      <c r="K66" s="53"/>
      <c r="L66" s="30"/>
      <c r="M66" s="65"/>
      <c r="N66" s="65"/>
      <c r="O66" s="69"/>
      <c r="P66" s="357"/>
      <c r="Q66" s="57"/>
      <c r="S66" s="57"/>
      <c r="T66" s="69"/>
      <c r="U66" s="69"/>
      <c r="V66" s="69"/>
    </row>
    <row r="67" spans="1:22" s="2" customFormat="1" ht="12.75" customHeight="1">
      <c r="A67" s="124"/>
      <c r="B67" s="579" t="s">
        <v>309</v>
      </c>
      <c r="C67" s="576"/>
      <c r="D67" s="620"/>
      <c r="E67" s="578">
        <v>30000</v>
      </c>
      <c r="F67" s="578">
        <v>30000</v>
      </c>
      <c r="G67" s="620">
        <v>50000</v>
      </c>
      <c r="H67" s="620"/>
      <c r="I67" s="620"/>
      <c r="J67" s="623"/>
      <c r="K67" s="53"/>
      <c r="L67" s="30"/>
      <c r="M67" s="65"/>
      <c r="N67" s="65"/>
      <c r="O67" s="69"/>
      <c r="P67" s="357"/>
      <c r="Q67" s="57"/>
      <c r="R67" s="16"/>
      <c r="S67" s="57"/>
      <c r="T67" s="69"/>
      <c r="U67" s="69"/>
      <c r="V67" s="69"/>
    </row>
    <row r="68" spans="1:22" s="2" customFormat="1" ht="12.75" customHeight="1">
      <c r="A68" s="124"/>
      <c r="B68" s="584" t="s">
        <v>324</v>
      </c>
      <c r="C68" s="581"/>
      <c r="D68" s="582"/>
      <c r="E68" s="583"/>
      <c r="F68" s="583"/>
      <c r="G68" s="582">
        <v>50000</v>
      </c>
      <c r="H68" s="582"/>
      <c r="I68" s="582"/>
      <c r="J68" s="607">
        <v>50000</v>
      </c>
      <c r="K68" s="53"/>
      <c r="L68" s="30"/>
      <c r="M68" s="65"/>
      <c r="N68" s="65"/>
      <c r="O68" s="69"/>
      <c r="P68" s="357"/>
      <c r="Q68" s="57"/>
      <c r="R68" s="16">
        <f>J68</f>
        <v>50000</v>
      </c>
      <c r="S68" s="57"/>
      <c r="T68" s="69"/>
      <c r="U68" s="69"/>
      <c r="V68" s="69"/>
    </row>
    <row r="69" spans="1:22" s="2" customFormat="1" ht="12.75" customHeight="1">
      <c r="A69" s="124"/>
      <c r="B69" s="585" t="s">
        <v>267</v>
      </c>
      <c r="C69" s="586">
        <v>402930</v>
      </c>
      <c r="D69" s="565">
        <v>340000</v>
      </c>
      <c r="E69" s="566">
        <v>510154</v>
      </c>
      <c r="F69" s="566">
        <v>510154</v>
      </c>
      <c r="G69" s="399"/>
      <c r="H69" s="399"/>
      <c r="I69" s="622"/>
      <c r="J69" s="615"/>
      <c r="K69" s="53"/>
      <c r="L69" s="30"/>
      <c r="M69" s="65"/>
      <c r="N69" s="65"/>
      <c r="O69" s="69"/>
      <c r="P69" s="357"/>
      <c r="Q69" s="57"/>
      <c r="R69" s="16"/>
      <c r="S69" s="57"/>
      <c r="T69" s="69"/>
      <c r="U69" s="69"/>
      <c r="V69" s="69"/>
    </row>
    <row r="70" spans="1:22" s="2" customFormat="1" ht="12.75" customHeight="1">
      <c r="A70" s="124"/>
      <c r="B70" s="585" t="s">
        <v>296</v>
      </c>
      <c r="C70" s="586"/>
      <c r="D70" s="565">
        <v>55000</v>
      </c>
      <c r="E70" s="439"/>
      <c r="F70" s="439"/>
      <c r="G70" s="399"/>
      <c r="H70" s="399"/>
      <c r="I70" s="399"/>
      <c r="J70" s="615"/>
      <c r="K70" s="53"/>
      <c r="L70" s="30"/>
      <c r="M70" s="65"/>
      <c r="N70" s="65"/>
      <c r="O70" s="69"/>
      <c r="P70" s="357"/>
      <c r="Q70" s="57"/>
      <c r="R70" s="16"/>
      <c r="S70" s="57"/>
      <c r="T70" s="69"/>
      <c r="U70" s="69"/>
      <c r="V70" s="69"/>
    </row>
    <row r="71" spans="1:19" s="2" customFormat="1" ht="12.75" customHeight="1">
      <c r="A71" s="124"/>
      <c r="B71" s="588" t="s">
        <v>325</v>
      </c>
      <c r="C71" s="567">
        <v>30000</v>
      </c>
      <c r="D71" s="565">
        <v>42000</v>
      </c>
      <c r="E71" s="566">
        <f>C71</f>
        <v>30000</v>
      </c>
      <c r="F71" s="566">
        <v>30000</v>
      </c>
      <c r="G71" s="565">
        <v>30000</v>
      </c>
      <c r="H71" s="565"/>
      <c r="I71" s="565"/>
      <c r="J71" s="608">
        <v>30000</v>
      </c>
      <c r="K71" s="53"/>
      <c r="L71" s="30"/>
      <c r="M71" s="65"/>
      <c r="N71" s="65"/>
      <c r="O71" s="69"/>
      <c r="P71" s="357"/>
      <c r="Q71" s="57"/>
      <c r="R71" s="16">
        <f aca="true" t="shared" si="2" ref="R71:R100">J71</f>
        <v>30000</v>
      </c>
      <c r="S71" s="57"/>
    </row>
    <row r="72" spans="1:19" s="2" customFormat="1" ht="12.75" customHeight="1">
      <c r="A72" s="124"/>
      <c r="B72" s="588" t="s">
        <v>295</v>
      </c>
      <c r="C72" s="567"/>
      <c r="D72" s="565">
        <v>30000</v>
      </c>
      <c r="E72" s="439"/>
      <c r="F72" s="439"/>
      <c r="G72" s="399"/>
      <c r="H72" s="399"/>
      <c r="I72" s="399"/>
      <c r="J72" s="615"/>
      <c r="K72" s="53"/>
      <c r="L72" s="30"/>
      <c r="M72" s="65"/>
      <c r="N72" s="65"/>
      <c r="O72" s="69"/>
      <c r="P72" s="357"/>
      <c r="Q72" s="57"/>
      <c r="R72" s="16"/>
      <c r="S72" s="57"/>
    </row>
    <row r="73" spans="1:19" s="2" customFormat="1" ht="12.75" customHeight="1">
      <c r="A73" s="124"/>
      <c r="B73" s="589" t="s">
        <v>269</v>
      </c>
      <c r="C73" s="586">
        <v>40000</v>
      </c>
      <c r="D73" s="565">
        <v>40000</v>
      </c>
      <c r="E73" s="566">
        <f>C73</f>
        <v>40000</v>
      </c>
      <c r="F73" s="566">
        <v>40000</v>
      </c>
      <c r="G73" s="565">
        <v>60000</v>
      </c>
      <c r="H73" s="565"/>
      <c r="I73" s="565"/>
      <c r="J73" s="608">
        <v>60000</v>
      </c>
      <c r="K73" s="26"/>
      <c r="L73" s="53"/>
      <c r="M73" s="65"/>
      <c r="N73" s="65"/>
      <c r="O73" s="69"/>
      <c r="P73" s="357"/>
      <c r="Q73" s="57"/>
      <c r="R73" s="16">
        <f t="shared" si="2"/>
        <v>60000</v>
      </c>
      <c r="S73" s="57"/>
    </row>
    <row r="74" spans="1:19" s="2" customFormat="1" ht="12.75" customHeight="1">
      <c r="A74" s="124"/>
      <c r="B74" s="590" t="s">
        <v>265</v>
      </c>
      <c r="C74" s="586">
        <v>40000</v>
      </c>
      <c r="D74" s="565">
        <v>40000</v>
      </c>
      <c r="E74" s="566">
        <v>10155</v>
      </c>
      <c r="F74" s="566">
        <v>10155</v>
      </c>
      <c r="G74" s="565">
        <v>25000</v>
      </c>
      <c r="H74" s="565"/>
      <c r="I74" s="565"/>
      <c r="J74" s="608">
        <v>10000</v>
      </c>
      <c r="K74" s="26"/>
      <c r="L74" s="53"/>
      <c r="M74" s="65"/>
      <c r="N74" s="65"/>
      <c r="O74" s="69"/>
      <c r="P74" s="357"/>
      <c r="Q74" s="57"/>
      <c r="R74" s="16">
        <f t="shared" si="2"/>
        <v>10000</v>
      </c>
      <c r="S74" s="57"/>
    </row>
    <row r="75" spans="1:19" s="2" customFormat="1" ht="12.75" customHeight="1">
      <c r="A75" s="124"/>
      <c r="B75" s="590" t="s">
        <v>270</v>
      </c>
      <c r="C75" s="586">
        <v>120000</v>
      </c>
      <c r="D75" s="565">
        <v>135000</v>
      </c>
      <c r="E75" s="566">
        <v>114932</v>
      </c>
      <c r="F75" s="566">
        <v>114932</v>
      </c>
      <c r="G75" s="565">
        <v>130000</v>
      </c>
      <c r="H75" s="565"/>
      <c r="I75" s="565"/>
      <c r="J75" s="608">
        <v>130000</v>
      </c>
      <c r="K75" s="26"/>
      <c r="L75" s="53"/>
      <c r="M75" s="65"/>
      <c r="N75" s="65"/>
      <c r="O75" s="69"/>
      <c r="P75" s="357"/>
      <c r="Q75" s="57"/>
      <c r="R75" s="16">
        <f t="shared" si="2"/>
        <v>130000</v>
      </c>
      <c r="S75" s="57"/>
    </row>
    <row r="76" spans="1:19" s="2" customFormat="1" ht="12.75" customHeight="1">
      <c r="A76" s="124"/>
      <c r="B76" s="590" t="s">
        <v>271</v>
      </c>
      <c r="C76" s="586">
        <v>60000</v>
      </c>
      <c r="D76" s="565">
        <v>60000</v>
      </c>
      <c r="E76" s="566">
        <v>20796</v>
      </c>
      <c r="F76" s="566">
        <v>20796</v>
      </c>
      <c r="G76" s="565">
        <v>30000</v>
      </c>
      <c r="H76" s="565"/>
      <c r="I76" s="565"/>
      <c r="J76" s="608">
        <v>30000</v>
      </c>
      <c r="K76" s="26"/>
      <c r="L76" s="53"/>
      <c r="M76" s="65"/>
      <c r="N76" s="65"/>
      <c r="O76" s="69"/>
      <c r="P76" s="357"/>
      <c r="Q76" s="57"/>
      <c r="R76" s="16">
        <f t="shared" si="2"/>
        <v>30000</v>
      </c>
      <c r="S76" s="57"/>
    </row>
    <row r="77" spans="1:19" s="2" customFormat="1" ht="12.75" customHeight="1">
      <c r="A77" s="124"/>
      <c r="B77" s="590" t="s">
        <v>297</v>
      </c>
      <c r="C77" s="586"/>
      <c r="D77" s="565">
        <v>20000</v>
      </c>
      <c r="E77" s="439"/>
      <c r="F77" s="439"/>
      <c r="G77" s="399"/>
      <c r="H77" s="399"/>
      <c r="I77" s="399"/>
      <c r="J77" s="615"/>
      <c r="K77" s="26"/>
      <c r="L77" s="53"/>
      <c r="M77" s="65"/>
      <c r="N77" s="65"/>
      <c r="O77" s="69"/>
      <c r="P77" s="357"/>
      <c r="Q77" s="57"/>
      <c r="R77" s="16"/>
      <c r="S77" s="57"/>
    </row>
    <row r="78" spans="1:19" s="2" customFormat="1" ht="12.75" customHeight="1">
      <c r="A78" s="124"/>
      <c r="B78" s="590" t="s">
        <v>272</v>
      </c>
      <c r="C78" s="586">
        <v>15000</v>
      </c>
      <c r="D78" s="565">
        <v>15000</v>
      </c>
      <c r="E78" s="566">
        <v>14881</v>
      </c>
      <c r="F78" s="566">
        <v>14881</v>
      </c>
      <c r="G78" s="565">
        <v>15000</v>
      </c>
      <c r="H78" s="565"/>
      <c r="I78" s="565"/>
      <c r="J78" s="608">
        <v>15000</v>
      </c>
      <c r="K78" s="26"/>
      <c r="L78" s="53"/>
      <c r="M78" s="65"/>
      <c r="N78" s="65"/>
      <c r="O78" s="69"/>
      <c r="P78" s="357"/>
      <c r="Q78" s="57"/>
      <c r="R78" s="16">
        <f t="shared" si="2"/>
        <v>15000</v>
      </c>
      <c r="S78" s="57"/>
    </row>
    <row r="79" spans="1:19" s="2" customFormat="1" ht="12.75" customHeight="1">
      <c r="A79" s="124"/>
      <c r="B79" s="590" t="s">
        <v>273</v>
      </c>
      <c r="C79" s="586"/>
      <c r="D79" s="565">
        <v>45000</v>
      </c>
      <c r="E79" s="439"/>
      <c r="F79" s="439"/>
      <c r="G79" s="399"/>
      <c r="H79" s="399"/>
      <c r="I79" s="399"/>
      <c r="J79" s="615"/>
      <c r="K79" s="26"/>
      <c r="L79" s="53"/>
      <c r="M79" s="65"/>
      <c r="N79" s="65"/>
      <c r="O79" s="69"/>
      <c r="P79" s="357"/>
      <c r="Q79" s="57"/>
      <c r="R79" s="16"/>
      <c r="S79" s="57"/>
    </row>
    <row r="80" spans="1:19" s="2" customFormat="1" ht="12.75" customHeight="1">
      <c r="A80" s="124"/>
      <c r="B80" s="590" t="s">
        <v>274</v>
      </c>
      <c r="C80" s="586">
        <v>50000</v>
      </c>
      <c r="D80" s="565">
        <v>20000</v>
      </c>
      <c r="E80" s="566">
        <v>7767</v>
      </c>
      <c r="F80" s="566">
        <v>7767</v>
      </c>
      <c r="G80" s="565">
        <v>20000</v>
      </c>
      <c r="H80" s="565"/>
      <c r="I80" s="565"/>
      <c r="J80" s="608">
        <v>20000</v>
      </c>
      <c r="K80" s="26"/>
      <c r="L80" s="53"/>
      <c r="M80" s="65"/>
      <c r="N80" s="65"/>
      <c r="O80" s="69"/>
      <c r="P80" s="357"/>
      <c r="Q80" s="57"/>
      <c r="R80" s="16">
        <f t="shared" si="2"/>
        <v>20000</v>
      </c>
      <c r="S80" s="57"/>
    </row>
    <row r="81" spans="1:19" s="2" customFormat="1" ht="12.75" customHeight="1">
      <c r="A81" s="124"/>
      <c r="B81" s="590" t="s">
        <v>275</v>
      </c>
      <c r="C81" s="581">
        <v>30000</v>
      </c>
      <c r="D81" s="582">
        <v>30000</v>
      </c>
      <c r="E81" s="583">
        <f>C81</f>
        <v>30000</v>
      </c>
      <c r="F81" s="583">
        <v>30000</v>
      </c>
      <c r="G81" s="582">
        <v>20000</v>
      </c>
      <c r="H81" s="582"/>
      <c r="I81" s="565"/>
      <c r="J81" s="608">
        <v>20000</v>
      </c>
      <c r="K81" s="26"/>
      <c r="L81" s="53"/>
      <c r="M81" s="65"/>
      <c r="N81" s="65"/>
      <c r="O81" s="69"/>
      <c r="P81" s="357"/>
      <c r="Q81" s="57"/>
      <c r="R81" s="16">
        <f t="shared" si="2"/>
        <v>20000</v>
      </c>
      <c r="S81" s="57"/>
    </row>
    <row r="82" spans="1:19" s="2" customFormat="1" ht="12.75" customHeight="1">
      <c r="A82" s="124"/>
      <c r="B82" s="590" t="s">
        <v>276</v>
      </c>
      <c r="C82" s="581">
        <v>80000</v>
      </c>
      <c r="D82" s="582">
        <v>75000</v>
      </c>
      <c r="E82" s="583">
        <v>184524</v>
      </c>
      <c r="F82" s="583">
        <v>184524</v>
      </c>
      <c r="G82" s="582">
        <v>280000</v>
      </c>
      <c r="H82" s="582"/>
      <c r="I82" s="565"/>
      <c r="J82" s="608">
        <v>220000</v>
      </c>
      <c r="K82" s="26"/>
      <c r="L82" s="53"/>
      <c r="M82" s="65"/>
      <c r="N82" s="65"/>
      <c r="O82" s="69"/>
      <c r="P82" s="357"/>
      <c r="Q82" s="57"/>
      <c r="R82" s="16">
        <f t="shared" si="2"/>
        <v>220000</v>
      </c>
      <c r="S82" s="57"/>
    </row>
    <row r="83" spans="1:19" s="2" customFormat="1" ht="12.75" customHeight="1">
      <c r="A83" s="124"/>
      <c r="B83" s="579" t="s">
        <v>178</v>
      </c>
      <c r="C83" s="576"/>
      <c r="D83" s="620"/>
      <c r="E83" s="578">
        <v>50000</v>
      </c>
      <c r="F83" s="578">
        <v>50000</v>
      </c>
      <c r="G83" s="620"/>
      <c r="H83" s="620"/>
      <c r="I83" s="399"/>
      <c r="J83" s="615"/>
      <c r="K83" s="26"/>
      <c r="L83" s="53"/>
      <c r="M83" s="65"/>
      <c r="N83" s="65"/>
      <c r="O83" s="69"/>
      <c r="P83" s="357"/>
      <c r="Q83" s="57"/>
      <c r="R83" s="16"/>
      <c r="S83" s="57"/>
    </row>
    <row r="84" spans="1:19" s="2" customFormat="1" ht="12.75" customHeight="1">
      <c r="A84" s="124"/>
      <c r="B84" s="584" t="s">
        <v>277</v>
      </c>
      <c r="C84" s="581">
        <v>50000</v>
      </c>
      <c r="D84" s="582"/>
      <c r="E84" s="583">
        <f>C84</f>
        <v>50000</v>
      </c>
      <c r="F84" s="583">
        <v>50000</v>
      </c>
      <c r="G84" s="582">
        <v>50000</v>
      </c>
      <c r="H84" s="582"/>
      <c r="I84" s="565"/>
      <c r="J84" s="608">
        <v>50000</v>
      </c>
      <c r="K84" s="26"/>
      <c r="L84" s="53"/>
      <c r="M84" s="65"/>
      <c r="N84" s="65"/>
      <c r="O84" s="69"/>
      <c r="P84" s="357"/>
      <c r="Q84" s="57"/>
      <c r="R84" s="16">
        <f t="shared" si="2"/>
        <v>50000</v>
      </c>
      <c r="S84" s="57"/>
    </row>
    <row r="85" spans="1:19" s="2" customFormat="1" ht="12.75" customHeight="1">
      <c r="A85" s="124"/>
      <c r="B85" s="584" t="s">
        <v>278</v>
      </c>
      <c r="C85" s="581"/>
      <c r="D85" s="582"/>
      <c r="E85" s="583"/>
      <c r="F85" s="583"/>
      <c r="G85" s="582">
        <v>50000</v>
      </c>
      <c r="H85" s="582"/>
      <c r="I85" s="565"/>
      <c r="J85" s="608">
        <v>30000</v>
      </c>
      <c r="K85" s="26"/>
      <c r="L85" s="53"/>
      <c r="M85" s="65"/>
      <c r="N85" s="65"/>
      <c r="O85" s="69"/>
      <c r="P85" s="357"/>
      <c r="Q85" s="57"/>
      <c r="R85" s="16">
        <f t="shared" si="2"/>
        <v>30000</v>
      </c>
      <c r="S85" s="57"/>
    </row>
    <row r="86" spans="1:19" s="2" customFormat="1" ht="12.75" customHeight="1">
      <c r="A86" s="124"/>
      <c r="B86" s="584" t="s">
        <v>279</v>
      </c>
      <c r="C86" s="581">
        <v>20000</v>
      </c>
      <c r="D86" s="582">
        <v>20000</v>
      </c>
      <c r="E86" s="583">
        <f>C86</f>
        <v>20000</v>
      </c>
      <c r="F86" s="583">
        <v>20000</v>
      </c>
      <c r="G86" s="620"/>
      <c r="H86" s="620"/>
      <c r="I86" s="399"/>
      <c r="J86" s="615"/>
      <c r="K86" s="26"/>
      <c r="L86" s="53"/>
      <c r="M86" s="65"/>
      <c r="N86" s="65"/>
      <c r="O86" s="69"/>
      <c r="P86" s="357"/>
      <c r="Q86" s="57"/>
      <c r="R86" s="16"/>
      <c r="S86" s="57"/>
    </row>
    <row r="87" spans="1:19" s="2" customFormat="1" ht="12.75" customHeight="1">
      <c r="A87" s="124"/>
      <c r="B87" s="584" t="s">
        <v>280</v>
      </c>
      <c r="C87" s="581">
        <v>370000</v>
      </c>
      <c r="D87" s="582">
        <v>207999</v>
      </c>
      <c r="E87" s="583">
        <f>C87</f>
        <v>370000</v>
      </c>
      <c r="F87" s="583">
        <v>370000</v>
      </c>
      <c r="G87" s="582">
        <v>370000</v>
      </c>
      <c r="H87" s="582"/>
      <c r="I87" s="565"/>
      <c r="J87" s="608">
        <v>270000</v>
      </c>
      <c r="K87" s="26"/>
      <c r="L87" s="53"/>
      <c r="M87" s="65"/>
      <c r="N87" s="65"/>
      <c r="O87" s="69"/>
      <c r="P87" s="357"/>
      <c r="Q87" s="57"/>
      <c r="R87" s="16">
        <f t="shared" si="2"/>
        <v>270000</v>
      </c>
      <c r="S87" s="57"/>
    </row>
    <row r="88" spans="1:19" s="2" customFormat="1" ht="12.75" customHeight="1">
      <c r="A88" s="124"/>
      <c r="B88" s="584" t="s">
        <v>281</v>
      </c>
      <c r="C88" s="581">
        <v>20000</v>
      </c>
      <c r="D88" s="582">
        <v>8000</v>
      </c>
      <c r="E88" s="583">
        <v>0</v>
      </c>
      <c r="F88" s="583">
        <v>0</v>
      </c>
      <c r="G88" s="582">
        <v>20000</v>
      </c>
      <c r="H88" s="582"/>
      <c r="I88" s="565"/>
      <c r="J88" s="608">
        <v>20000</v>
      </c>
      <c r="K88" s="26"/>
      <c r="L88" s="53"/>
      <c r="M88" s="65"/>
      <c r="N88" s="65"/>
      <c r="O88" s="69"/>
      <c r="P88" s="357"/>
      <c r="Q88" s="57"/>
      <c r="R88" s="16">
        <f t="shared" si="2"/>
        <v>20000</v>
      </c>
      <c r="S88" s="57"/>
    </row>
    <row r="89" spans="1:19" s="2" customFormat="1" ht="12.75" customHeight="1">
      <c r="A89" s="124"/>
      <c r="B89" s="584" t="s">
        <v>282</v>
      </c>
      <c r="C89" s="581">
        <v>50000</v>
      </c>
      <c r="D89" s="582">
        <v>12001</v>
      </c>
      <c r="E89" s="583">
        <v>34336</v>
      </c>
      <c r="F89" s="583">
        <v>34336</v>
      </c>
      <c r="G89" s="582">
        <v>50000</v>
      </c>
      <c r="H89" s="582"/>
      <c r="I89" s="565"/>
      <c r="J89" s="608">
        <v>50000</v>
      </c>
      <c r="K89" s="26"/>
      <c r="L89" s="53"/>
      <c r="M89" s="65"/>
      <c r="N89" s="65"/>
      <c r="O89" s="69"/>
      <c r="P89" s="357"/>
      <c r="Q89" s="57"/>
      <c r="R89" s="16">
        <f t="shared" si="2"/>
        <v>50000</v>
      </c>
      <c r="S89" s="57"/>
    </row>
    <row r="90" spans="1:19" s="2" customFormat="1" ht="12.75" customHeight="1">
      <c r="A90" s="124"/>
      <c r="B90" s="579" t="s">
        <v>183</v>
      </c>
      <c r="C90" s="576"/>
      <c r="D90" s="620"/>
      <c r="E90" s="578">
        <v>10000</v>
      </c>
      <c r="F90" s="578">
        <v>10000</v>
      </c>
      <c r="G90" s="620"/>
      <c r="H90" s="620"/>
      <c r="I90" s="399"/>
      <c r="J90" s="615"/>
      <c r="K90" s="26"/>
      <c r="L90" s="53"/>
      <c r="M90" s="65"/>
      <c r="N90" s="65"/>
      <c r="O90" s="69"/>
      <c r="P90" s="357"/>
      <c r="Q90" s="57"/>
      <c r="R90" s="16"/>
      <c r="S90" s="57"/>
    </row>
    <row r="91" spans="1:19" s="2" customFormat="1" ht="12.75" customHeight="1">
      <c r="A91" s="124"/>
      <c r="B91" s="584" t="s">
        <v>327</v>
      </c>
      <c r="C91" s="581">
        <v>20000</v>
      </c>
      <c r="D91" s="582">
        <v>20000</v>
      </c>
      <c r="E91" s="583">
        <f>C91</f>
        <v>20000</v>
      </c>
      <c r="F91" s="583">
        <v>20000</v>
      </c>
      <c r="G91" s="582">
        <v>20000</v>
      </c>
      <c r="H91" s="582"/>
      <c r="I91" s="565"/>
      <c r="J91" s="608">
        <v>10000</v>
      </c>
      <c r="K91" s="26"/>
      <c r="L91" s="53"/>
      <c r="M91" s="65"/>
      <c r="N91" s="65"/>
      <c r="O91" s="69"/>
      <c r="P91" s="357"/>
      <c r="Q91" s="57"/>
      <c r="R91" s="16">
        <f t="shared" si="2"/>
        <v>10000</v>
      </c>
      <c r="S91" s="57"/>
    </row>
    <row r="92" spans="1:19" s="2" customFormat="1" ht="12.75" customHeight="1">
      <c r="A92" s="124"/>
      <c r="B92" s="584" t="s">
        <v>321</v>
      </c>
      <c r="C92" s="581"/>
      <c r="D92" s="582"/>
      <c r="E92" s="583"/>
      <c r="F92" s="583"/>
      <c r="G92" s="582">
        <v>210000</v>
      </c>
      <c r="H92" s="582"/>
      <c r="I92" s="587"/>
      <c r="J92" s="608">
        <v>100000</v>
      </c>
      <c r="K92" s="26"/>
      <c r="L92" s="53"/>
      <c r="M92" s="65"/>
      <c r="N92" s="65"/>
      <c r="O92" s="69"/>
      <c r="P92" s="357"/>
      <c r="Q92" s="57"/>
      <c r="R92" s="16">
        <f>J92</f>
        <v>100000</v>
      </c>
      <c r="S92" s="57"/>
    </row>
    <row r="93" spans="1:19" s="2" customFormat="1" ht="12.75" customHeight="1">
      <c r="A93" s="124"/>
      <c r="B93" s="584" t="s">
        <v>320</v>
      </c>
      <c r="C93" s="581"/>
      <c r="D93" s="582"/>
      <c r="E93" s="594">
        <v>40000</v>
      </c>
      <c r="F93" s="594">
        <v>40000</v>
      </c>
      <c r="G93" s="582">
        <v>50000</v>
      </c>
      <c r="H93" s="582"/>
      <c r="I93" s="587"/>
      <c r="J93" s="608">
        <v>50000</v>
      </c>
      <c r="K93" s="26"/>
      <c r="L93" s="53"/>
      <c r="M93" s="65"/>
      <c r="N93" s="65"/>
      <c r="O93" s="69"/>
      <c r="P93" s="357"/>
      <c r="Q93" s="57"/>
      <c r="R93" s="16">
        <f>J93</f>
        <v>50000</v>
      </c>
      <c r="S93" s="57"/>
    </row>
    <row r="94" spans="1:19" s="2" customFormat="1" ht="12.75" customHeight="1">
      <c r="A94" s="124"/>
      <c r="B94" s="579" t="s">
        <v>312</v>
      </c>
      <c r="C94" s="576"/>
      <c r="D94" s="620"/>
      <c r="E94" s="621">
        <v>15000</v>
      </c>
      <c r="F94" s="621">
        <v>15000</v>
      </c>
      <c r="G94" s="620"/>
      <c r="H94" s="620"/>
      <c r="I94" s="622"/>
      <c r="J94" s="615"/>
      <c r="K94" s="26"/>
      <c r="L94" s="53"/>
      <c r="M94" s="65"/>
      <c r="N94" s="65"/>
      <c r="O94" s="69"/>
      <c r="P94" s="357"/>
      <c r="Q94" s="57"/>
      <c r="R94" s="16"/>
      <c r="S94" s="57"/>
    </row>
    <row r="95" spans="1:19" s="2" customFormat="1" ht="12.75" customHeight="1">
      <c r="A95" s="124"/>
      <c r="B95" s="584" t="s">
        <v>284</v>
      </c>
      <c r="C95" s="581"/>
      <c r="D95" s="582"/>
      <c r="E95" s="594"/>
      <c r="F95" s="594"/>
      <c r="G95" s="582"/>
      <c r="H95" s="582"/>
      <c r="I95" s="587"/>
      <c r="J95" s="608"/>
      <c r="K95" s="26"/>
      <c r="L95" s="53"/>
      <c r="M95" s="65"/>
      <c r="N95" s="65"/>
      <c r="O95" s="69"/>
      <c r="P95" s="357"/>
      <c r="Q95" s="57"/>
      <c r="R95" s="16">
        <f t="shared" si="2"/>
        <v>0</v>
      </c>
      <c r="S95" s="57"/>
    </row>
    <row r="96" spans="1:19" s="2" customFormat="1" ht="12.75" customHeight="1">
      <c r="A96" s="124"/>
      <c r="B96" s="625" t="s">
        <v>256</v>
      </c>
      <c r="C96" s="624"/>
      <c r="D96" s="626"/>
      <c r="E96" s="627"/>
      <c r="F96" s="627"/>
      <c r="G96" s="626"/>
      <c r="H96" s="626"/>
      <c r="I96" s="626"/>
      <c r="J96" s="628">
        <v>250000</v>
      </c>
      <c r="K96" s="26"/>
      <c r="L96" s="53"/>
      <c r="M96" s="65"/>
      <c r="N96" s="65"/>
      <c r="O96" s="69"/>
      <c r="P96" s="357"/>
      <c r="Q96" s="57"/>
      <c r="R96" s="16">
        <f t="shared" si="2"/>
        <v>250000</v>
      </c>
      <c r="S96" s="57"/>
    </row>
    <row r="97" spans="1:19" s="2" customFormat="1" ht="12.75" customHeight="1">
      <c r="A97" s="124"/>
      <c r="B97" s="584" t="s">
        <v>285</v>
      </c>
      <c r="C97" s="581"/>
      <c r="D97" s="582"/>
      <c r="E97" s="594"/>
      <c r="F97" s="594"/>
      <c r="G97" s="582">
        <v>90000</v>
      </c>
      <c r="H97" s="620"/>
      <c r="I97" s="622"/>
      <c r="J97" s="615"/>
      <c r="K97" s="26"/>
      <c r="L97" s="53"/>
      <c r="M97" s="65"/>
      <c r="N97" s="65"/>
      <c r="O97" s="69"/>
      <c r="P97" s="357"/>
      <c r="Q97" s="57"/>
      <c r="R97" s="16">
        <f t="shared" si="2"/>
        <v>0</v>
      </c>
      <c r="S97" s="57"/>
    </row>
    <row r="98" spans="1:19" s="2" customFormat="1" ht="12.75" customHeight="1">
      <c r="A98" s="124"/>
      <c r="B98" s="584" t="s">
        <v>319</v>
      </c>
      <c r="C98" s="581"/>
      <c r="D98" s="582"/>
      <c r="E98" s="594"/>
      <c r="F98" s="594"/>
      <c r="G98" s="582">
        <v>50000</v>
      </c>
      <c r="H98" s="582"/>
      <c r="I98" s="587"/>
      <c r="J98" s="608">
        <v>50000</v>
      </c>
      <c r="K98" s="26"/>
      <c r="L98" s="53"/>
      <c r="M98" s="65"/>
      <c r="N98" s="65"/>
      <c r="O98" s="69"/>
      <c r="P98" s="357"/>
      <c r="Q98" s="57"/>
      <c r="R98" s="16">
        <f t="shared" si="2"/>
        <v>50000</v>
      </c>
      <c r="S98" s="57"/>
    </row>
    <row r="99" spans="1:19" s="2" customFormat="1" ht="12.75" customHeight="1">
      <c r="A99" s="124"/>
      <c r="B99" s="625" t="s">
        <v>326</v>
      </c>
      <c r="C99" s="624"/>
      <c r="D99" s="626"/>
      <c r="E99" s="627"/>
      <c r="F99" s="627"/>
      <c r="G99" s="626"/>
      <c r="H99" s="626"/>
      <c r="I99" s="626"/>
      <c r="J99" s="628">
        <v>20000</v>
      </c>
      <c r="K99" s="26"/>
      <c r="L99" s="53"/>
      <c r="M99" s="65"/>
      <c r="N99" s="65"/>
      <c r="O99" s="69"/>
      <c r="P99" s="357"/>
      <c r="Q99" s="57"/>
      <c r="R99" s="16">
        <f t="shared" si="2"/>
        <v>20000</v>
      </c>
      <c r="S99" s="57"/>
    </row>
    <row r="100" spans="1:19" s="2" customFormat="1" ht="12.75" customHeight="1">
      <c r="A100" s="124"/>
      <c r="B100" s="625" t="s">
        <v>328</v>
      </c>
      <c r="C100" s="624"/>
      <c r="D100" s="626"/>
      <c r="E100" s="627"/>
      <c r="F100" s="627"/>
      <c r="G100" s="626"/>
      <c r="H100" s="626"/>
      <c r="I100" s="626"/>
      <c r="J100" s="628">
        <v>10000</v>
      </c>
      <c r="K100" s="4"/>
      <c r="L100" s="53"/>
      <c r="M100" s="65"/>
      <c r="N100" s="65"/>
      <c r="O100" s="69"/>
      <c r="P100" s="357"/>
      <c r="Q100" s="57"/>
      <c r="R100" s="16">
        <f t="shared" si="2"/>
        <v>10000</v>
      </c>
      <c r="S100" s="57"/>
    </row>
    <row r="101" spans="1:19" s="2" customFormat="1" ht="12.75" customHeight="1">
      <c r="A101" s="124"/>
      <c r="B101" s="579" t="s">
        <v>323</v>
      </c>
      <c r="C101" s="576"/>
      <c r="D101" s="577">
        <f>130000+90000+30000+100000+57000+393700+15000</f>
        <v>815700</v>
      </c>
      <c r="E101" s="578"/>
      <c r="F101" s="578">
        <v>155382</v>
      </c>
      <c r="G101" s="577"/>
      <c r="H101" s="577"/>
      <c r="I101" s="406"/>
      <c r="J101" s="602">
        <v>0</v>
      </c>
      <c r="K101" s="26"/>
      <c r="L101" s="53"/>
      <c r="M101" s="65"/>
      <c r="N101" s="65"/>
      <c r="O101" s="69"/>
      <c r="P101" s="357"/>
      <c r="Q101" s="57"/>
      <c r="R101" s="16"/>
      <c r="S101" s="57"/>
    </row>
    <row r="102" spans="1:19" s="2" customFormat="1" ht="12.75" customHeight="1">
      <c r="A102" s="124"/>
      <c r="B102" s="579"/>
      <c r="C102" s="576"/>
      <c r="D102" s="577"/>
      <c r="E102" s="578"/>
      <c r="F102" s="578"/>
      <c r="G102" s="577"/>
      <c r="H102" s="577"/>
      <c r="I102" s="398"/>
      <c r="J102" s="602"/>
      <c r="K102" s="26"/>
      <c r="L102" s="53"/>
      <c r="M102" s="65"/>
      <c r="N102" s="65"/>
      <c r="O102" s="69"/>
      <c r="P102" s="357"/>
      <c r="Q102" s="57"/>
      <c r="R102" s="16"/>
      <c r="S102" s="57"/>
    </row>
    <row r="103" spans="1:19" s="2" customFormat="1" ht="12.75" customHeight="1">
      <c r="A103" s="124"/>
      <c r="B103" s="579"/>
      <c r="C103" s="429"/>
      <c r="D103" s="406"/>
      <c r="E103" s="441"/>
      <c r="F103" s="441"/>
      <c r="G103" s="406"/>
      <c r="H103" s="406"/>
      <c r="I103" s="406"/>
      <c r="J103" s="602"/>
      <c r="K103" s="26"/>
      <c r="L103" s="53"/>
      <c r="M103" s="65"/>
      <c r="N103" s="65"/>
      <c r="O103" s="69"/>
      <c r="P103" s="357"/>
      <c r="Q103" s="57"/>
      <c r="R103" s="16"/>
      <c r="S103" s="57"/>
    </row>
    <row r="104" spans="1:19" s="2" customFormat="1" ht="12.75" customHeight="1">
      <c r="A104" s="124"/>
      <c r="B104" s="579"/>
      <c r="C104" s="429"/>
      <c r="D104" s="406"/>
      <c r="E104" s="441"/>
      <c r="F104" s="441"/>
      <c r="G104" s="406"/>
      <c r="H104" s="406"/>
      <c r="I104" s="406"/>
      <c r="J104" s="602"/>
      <c r="K104" s="26"/>
      <c r="L104" s="53"/>
      <c r="M104" s="65"/>
      <c r="N104" s="65"/>
      <c r="O104" s="69"/>
      <c r="P104" s="357"/>
      <c r="Q104" s="57"/>
      <c r="R104" s="16"/>
      <c r="S104" s="57"/>
    </row>
    <row r="105" spans="1:19" s="2" customFormat="1" ht="12.75" customHeight="1">
      <c r="A105" s="124"/>
      <c r="B105" s="579"/>
      <c r="C105" s="429"/>
      <c r="D105" s="406"/>
      <c r="E105" s="441"/>
      <c r="F105" s="441"/>
      <c r="G105" s="406"/>
      <c r="H105" s="406"/>
      <c r="I105" s="406"/>
      <c r="J105" s="602"/>
      <c r="K105" s="26"/>
      <c r="L105" s="53"/>
      <c r="M105" s="65"/>
      <c r="N105" s="65"/>
      <c r="O105" s="69"/>
      <c r="P105" s="357"/>
      <c r="Q105" s="57"/>
      <c r="R105" s="16"/>
      <c r="S105" s="57"/>
    </row>
    <row r="106" spans="1:19" s="108" customFormat="1" ht="12.75" customHeight="1" thickBot="1">
      <c r="A106" s="284"/>
      <c r="B106" s="591" t="s">
        <v>53</v>
      </c>
      <c r="C106" s="446">
        <v>68000</v>
      </c>
      <c r="D106" s="443">
        <v>68067</v>
      </c>
      <c r="E106" s="442">
        <v>68000</v>
      </c>
      <c r="F106" s="442"/>
      <c r="G106" s="443"/>
      <c r="H106" s="443"/>
      <c r="I106" s="443"/>
      <c r="J106" s="603"/>
      <c r="K106" s="26"/>
      <c r="L106" s="53"/>
      <c r="M106" s="81"/>
      <c r="N106" s="81"/>
      <c r="O106" s="70"/>
      <c r="P106" s="364"/>
      <c r="Q106" s="57"/>
      <c r="R106" s="16"/>
      <c r="S106" s="57"/>
    </row>
    <row r="107" spans="1:19" s="11" customFormat="1" ht="14.25" thickBot="1">
      <c r="A107" s="124"/>
      <c r="B107" s="447" t="s">
        <v>13</v>
      </c>
      <c r="C107" s="178">
        <f>SUM(C59:C106)</f>
        <v>12493975</v>
      </c>
      <c r="D107" s="365">
        <f>SUM(D59:D106)</f>
        <v>12314901</v>
      </c>
      <c r="E107" s="435">
        <f>SUM(E59:E106)</f>
        <v>12888766</v>
      </c>
      <c r="F107" s="435">
        <f>SUM(F59:F106)</f>
        <v>12988703</v>
      </c>
      <c r="G107" s="365">
        <f>SUM(G59:G106)</f>
        <v>13681193</v>
      </c>
      <c r="H107" s="365"/>
      <c r="I107" s="365">
        <f>SUM(I59:I106)</f>
        <v>0</v>
      </c>
      <c r="J107" s="365">
        <f>SUM(J59:J106)</f>
        <v>15095546</v>
      </c>
      <c r="K107" s="56"/>
      <c r="L107" s="56"/>
      <c r="M107" s="82"/>
      <c r="N107" s="82"/>
      <c r="O107" s="83"/>
      <c r="P107" s="359"/>
      <c r="Q107" s="52"/>
      <c r="R107" s="501">
        <f>SUM(R65:R106)</f>
        <v>2545000</v>
      </c>
      <c r="S107" s="134"/>
    </row>
    <row r="108" spans="1:19" s="11" customFormat="1" ht="9" customHeight="1" thickBot="1">
      <c r="A108" s="124"/>
      <c r="B108" s="327"/>
      <c r="C108" s="366"/>
      <c r="D108" s="367"/>
      <c r="E108" s="5"/>
      <c r="F108" s="5"/>
      <c r="G108" s="367"/>
      <c r="H108" s="367"/>
      <c r="I108" s="367"/>
      <c r="J108" s="609"/>
      <c r="K108" s="56"/>
      <c r="L108" s="56"/>
      <c r="M108" s="82"/>
      <c r="N108" s="82"/>
      <c r="O108" s="83"/>
      <c r="P108" s="124"/>
      <c r="Q108" s="52"/>
      <c r="R108" s="16"/>
      <c r="S108" s="134"/>
    </row>
    <row r="109" spans="1:19" s="11" customFormat="1" ht="15" thickBot="1" thickTop="1">
      <c r="A109" s="124"/>
      <c r="B109" s="340" t="s">
        <v>167</v>
      </c>
      <c r="C109" s="341"/>
      <c r="D109" s="343">
        <f>D107-D56</f>
        <v>-154646</v>
      </c>
      <c r="E109" s="343">
        <f>E107-E56</f>
        <v>0</v>
      </c>
      <c r="F109" s="343">
        <f>F107-F56</f>
        <v>25684</v>
      </c>
      <c r="G109" s="343">
        <f>G107-G56</f>
        <v>0</v>
      </c>
      <c r="H109" s="343"/>
      <c r="I109" s="343">
        <f>I107-I56</f>
        <v>0</v>
      </c>
      <c r="J109" s="610">
        <f>J107-J56</f>
        <v>0</v>
      </c>
      <c r="K109" s="56"/>
      <c r="L109" s="56"/>
      <c r="M109" s="82"/>
      <c r="N109" s="82"/>
      <c r="O109" s="83"/>
      <c r="P109" s="124"/>
      <c r="Q109" s="52"/>
      <c r="R109" s="16"/>
      <c r="S109" s="134"/>
    </row>
    <row r="110" spans="2:19" ht="8.25" customHeight="1" thickTop="1">
      <c r="B110" s="67"/>
      <c r="C110" s="67"/>
      <c r="D110" s="67"/>
      <c r="E110" s="67"/>
      <c r="F110" s="67"/>
      <c r="G110" s="368"/>
      <c r="H110" s="368"/>
      <c r="I110" s="368"/>
      <c r="R110" s="28"/>
      <c r="S110" s="134"/>
    </row>
    <row r="111" spans="2:19" ht="18" thickBot="1">
      <c r="B111" s="874" t="s">
        <v>14</v>
      </c>
      <c r="C111" s="874"/>
      <c r="D111" s="874"/>
      <c r="E111" s="874"/>
      <c r="F111" s="874"/>
      <c r="G111" s="874"/>
      <c r="H111" s="874"/>
      <c r="I111" s="874"/>
      <c r="J111" s="874"/>
      <c r="K111" s="874"/>
      <c r="L111" s="874"/>
      <c r="R111" s="29"/>
      <c r="S111" s="134"/>
    </row>
    <row r="112" spans="2:19" ht="15">
      <c r="B112" s="454" t="s">
        <v>0</v>
      </c>
      <c r="C112" s="93" t="s">
        <v>299</v>
      </c>
      <c r="D112" s="350" t="s">
        <v>137</v>
      </c>
      <c r="E112" s="93" t="s">
        <v>299</v>
      </c>
      <c r="F112" s="350" t="s">
        <v>137</v>
      </c>
      <c r="G112" s="93" t="s">
        <v>299</v>
      </c>
      <c r="H112" s="350"/>
      <c r="I112" s="383" t="s">
        <v>302</v>
      </c>
      <c r="J112" s="598" t="s">
        <v>165</v>
      </c>
      <c r="K112" s="9"/>
      <c r="L112" s="36"/>
      <c r="M112" s="1"/>
      <c r="N112" s="1"/>
      <c r="O112" s="41"/>
      <c r="P112" s="351" t="s">
        <v>136</v>
      </c>
      <c r="R112" s="135"/>
      <c r="S112" s="134"/>
    </row>
    <row r="113" spans="2:21" ht="15.75" thickBot="1">
      <c r="B113" s="455"/>
      <c r="C113" s="539">
        <v>2015</v>
      </c>
      <c r="D113" s="353">
        <v>2015</v>
      </c>
      <c r="E113" s="540">
        <v>2016</v>
      </c>
      <c r="F113" s="540">
        <v>2016</v>
      </c>
      <c r="G113" s="353">
        <v>2017</v>
      </c>
      <c r="H113" s="537"/>
      <c r="I113" s="418" t="s">
        <v>303</v>
      </c>
      <c r="J113" s="599" t="s">
        <v>300</v>
      </c>
      <c r="K113" s="9"/>
      <c r="L113" s="36"/>
      <c r="M113" s="1"/>
      <c r="N113" s="1"/>
      <c r="O113" s="41"/>
      <c r="P113" s="355"/>
      <c r="R113" s="29"/>
      <c r="S113" s="134"/>
      <c r="T113" s="29"/>
      <c r="U113" s="29"/>
    </row>
    <row r="114" spans="1:21" s="2" customFormat="1" ht="12.75" customHeight="1">
      <c r="A114" s="124"/>
      <c r="B114" s="456" t="s">
        <v>322</v>
      </c>
      <c r="C114" s="452">
        <v>169000</v>
      </c>
      <c r="D114" s="437">
        <v>42335</v>
      </c>
      <c r="E114" s="448">
        <v>50000</v>
      </c>
      <c r="F114" s="448">
        <v>40506</v>
      </c>
      <c r="G114" s="437">
        <v>47100</v>
      </c>
      <c r="H114" s="437"/>
      <c r="I114" s="437"/>
      <c r="J114" s="605">
        <v>45000</v>
      </c>
      <c r="K114" s="4"/>
      <c r="L114" s="30"/>
      <c r="P114" s="356"/>
      <c r="R114" s="70"/>
      <c r="S114" s="134"/>
      <c r="T114" s="70"/>
      <c r="U114" s="70"/>
    </row>
    <row r="115" spans="1:21" s="2" customFormat="1" ht="12.75" customHeight="1">
      <c r="A115" s="124"/>
      <c r="B115" s="457" t="s">
        <v>314</v>
      </c>
      <c r="C115" s="430"/>
      <c r="D115" s="398">
        <v>20088</v>
      </c>
      <c r="E115" s="397">
        <v>11000</v>
      </c>
      <c r="F115" s="397">
        <v>17147</v>
      </c>
      <c r="G115" s="398">
        <v>17300</v>
      </c>
      <c r="H115" s="398"/>
      <c r="I115" s="398"/>
      <c r="J115" s="602">
        <v>18000</v>
      </c>
      <c r="K115" s="4"/>
      <c r="L115" s="30"/>
      <c r="P115" s="357"/>
      <c r="R115" s="70"/>
      <c r="S115" s="134"/>
      <c r="T115" s="70"/>
      <c r="U115" s="70"/>
    </row>
    <row r="116" spans="1:21" s="2" customFormat="1" ht="12.75" customHeight="1">
      <c r="A116" s="124"/>
      <c r="B116" s="457" t="s">
        <v>313</v>
      </c>
      <c r="C116" s="430"/>
      <c r="D116" s="398">
        <v>88894</v>
      </c>
      <c r="E116" s="397">
        <v>108000</v>
      </c>
      <c r="F116" s="397">
        <v>93886</v>
      </c>
      <c r="G116" s="398">
        <v>113300</v>
      </c>
      <c r="H116" s="398"/>
      <c r="I116" s="398"/>
      <c r="J116" s="602">
        <v>115000</v>
      </c>
      <c r="K116" s="4"/>
      <c r="L116" s="30"/>
      <c r="P116" s="358"/>
      <c r="R116" s="70"/>
      <c r="S116" s="134"/>
      <c r="T116" s="70"/>
      <c r="U116" s="70"/>
    </row>
    <row r="117" spans="1:21" s="2" customFormat="1" ht="12.75" customHeight="1">
      <c r="A117" s="124"/>
      <c r="B117" s="458" t="s">
        <v>1</v>
      </c>
      <c r="C117" s="430">
        <v>25000</v>
      </c>
      <c r="D117" s="398">
        <v>0</v>
      </c>
      <c r="E117" s="595">
        <f>C117</f>
        <v>25000</v>
      </c>
      <c r="F117" s="595">
        <v>960</v>
      </c>
      <c r="G117" s="398">
        <v>20000</v>
      </c>
      <c r="H117" s="398"/>
      <c r="I117" s="398"/>
      <c r="J117" s="602">
        <v>20000</v>
      </c>
      <c r="K117" s="4"/>
      <c r="L117" s="30"/>
      <c r="P117" s="357"/>
      <c r="R117" s="70"/>
      <c r="S117" s="134"/>
      <c r="T117" s="70"/>
      <c r="U117" s="70"/>
    </row>
    <row r="118" spans="1:21" s="2" customFormat="1" ht="12.75" customHeight="1">
      <c r="A118" s="124"/>
      <c r="B118" s="458" t="s">
        <v>197</v>
      </c>
      <c r="C118" s="430"/>
      <c r="D118" s="398">
        <v>5857</v>
      </c>
      <c r="E118" s="595">
        <v>197957</v>
      </c>
      <c r="F118" s="595">
        <v>197957</v>
      </c>
      <c r="G118" s="398"/>
      <c r="H118" s="398"/>
      <c r="I118" s="399"/>
      <c r="J118" s="602"/>
      <c r="K118" s="4"/>
      <c r="L118" s="30"/>
      <c r="P118" s="357"/>
      <c r="R118" s="70"/>
      <c r="S118" s="134"/>
      <c r="T118" s="70"/>
      <c r="U118" s="70"/>
    </row>
    <row r="119" spans="1:21" s="2" customFormat="1" ht="12.75" customHeight="1">
      <c r="A119" s="124"/>
      <c r="B119" s="458" t="s">
        <v>198</v>
      </c>
      <c r="C119" s="430"/>
      <c r="D119" s="398"/>
      <c r="E119" s="595"/>
      <c r="F119" s="595">
        <v>12364</v>
      </c>
      <c r="G119" s="398">
        <v>24960</v>
      </c>
      <c r="H119" s="398"/>
      <c r="I119" s="399"/>
      <c r="J119" s="602">
        <f>3275+1194+1943+1429+593+589+589+589+589+589+589+589+589+589+589+589+589+248+124+454+454+454+454+556+556+184+184+539+108+120+2011+311+311+311+311+311+311+311+311+311+19</f>
        <v>24766</v>
      </c>
      <c r="K119" s="4"/>
      <c r="L119" s="30"/>
      <c r="P119" s="357"/>
      <c r="R119" s="70"/>
      <c r="S119" s="134"/>
      <c r="T119" s="70"/>
      <c r="U119" s="70"/>
    </row>
    <row r="120" spans="1:21" s="2" customFormat="1" ht="12.75" customHeight="1">
      <c r="A120" s="124"/>
      <c r="B120" s="458" t="s">
        <v>8</v>
      </c>
      <c r="C120" s="430">
        <v>6000</v>
      </c>
      <c r="D120" s="398">
        <v>25</v>
      </c>
      <c r="E120" s="595">
        <f>C120</f>
        <v>6000</v>
      </c>
      <c r="F120" s="595">
        <v>17800</v>
      </c>
      <c r="G120" s="398">
        <v>6200</v>
      </c>
      <c r="H120" s="398"/>
      <c r="I120" s="398"/>
      <c r="J120" s="602">
        <v>7000</v>
      </c>
      <c r="K120" s="4"/>
      <c r="L120" s="26"/>
      <c r="P120" s="357"/>
      <c r="R120" s="70"/>
      <c r="S120" s="134"/>
      <c r="T120" s="70"/>
      <c r="U120" s="70"/>
    </row>
    <row r="121" spans="1:21" s="2" customFormat="1" ht="12.75" customHeight="1">
      <c r="A121" s="124"/>
      <c r="B121" s="458" t="s">
        <v>16</v>
      </c>
      <c r="C121" s="430">
        <v>95000</v>
      </c>
      <c r="D121" s="398">
        <v>56433</v>
      </c>
      <c r="E121" s="595">
        <v>235800</v>
      </c>
      <c r="F121" s="595">
        <v>205254</v>
      </c>
      <c r="G121" s="398">
        <v>280000</v>
      </c>
      <c r="H121" s="398"/>
      <c r="I121" s="398"/>
      <c r="J121" s="602">
        <v>280000</v>
      </c>
      <c r="K121" s="4"/>
      <c r="L121" s="30"/>
      <c r="P121" s="357"/>
      <c r="R121" s="70"/>
      <c r="S121" s="134"/>
      <c r="T121" s="70"/>
      <c r="U121" s="70"/>
    </row>
    <row r="122" spans="1:21" s="2" customFormat="1" ht="12.75" customHeight="1" thickBot="1">
      <c r="A122" s="124"/>
      <c r="B122" s="549" t="s">
        <v>10</v>
      </c>
      <c r="C122" s="550">
        <v>319340</v>
      </c>
      <c r="D122" s="551">
        <v>287854</v>
      </c>
      <c r="E122" s="552">
        <v>319826</v>
      </c>
      <c r="F122" s="552">
        <v>298092</v>
      </c>
      <c r="G122" s="551">
        <v>429568</v>
      </c>
      <c r="H122" s="551"/>
      <c r="I122" s="551"/>
      <c r="J122" s="612">
        <v>556398</v>
      </c>
      <c r="K122" s="4"/>
      <c r="L122" s="30"/>
      <c r="P122" s="359"/>
      <c r="Q122" s="70"/>
      <c r="R122" s="70"/>
      <c r="S122" s="500"/>
      <c r="T122" s="70"/>
      <c r="U122" s="70"/>
    </row>
    <row r="123" spans="1:21" s="11" customFormat="1" ht="14.25" thickBot="1">
      <c r="A123" s="124"/>
      <c r="B123" s="460" t="s">
        <v>2</v>
      </c>
      <c r="C123" s="373">
        <f>SUM(C114:C122)</f>
        <v>614340</v>
      </c>
      <c r="D123" s="360">
        <f>SUM(D114:D122)</f>
        <v>501486</v>
      </c>
      <c r="E123" s="371">
        <f>SUM(E114:E122)</f>
        <v>953583</v>
      </c>
      <c r="F123" s="371">
        <f>SUM(F114:F122)</f>
        <v>883966</v>
      </c>
      <c r="G123" s="360">
        <f>SUM(G114:G122)</f>
        <v>938428</v>
      </c>
      <c r="H123" s="372"/>
      <c r="I123" s="372">
        <f>SUM(I114:I122)</f>
        <v>0</v>
      </c>
      <c r="J123" s="384">
        <f>SUM(J114:J122)</f>
        <v>1066164</v>
      </c>
      <c r="K123" s="56"/>
      <c r="L123" s="35"/>
      <c r="P123" s="124"/>
      <c r="Q123" s="16"/>
      <c r="R123" s="52"/>
      <c r="S123" s="500"/>
      <c r="T123" s="52"/>
      <c r="U123" s="52"/>
    </row>
    <row r="124" spans="2:21" ht="15.75" thickBot="1">
      <c r="B124" s="3"/>
      <c r="C124" s="17"/>
      <c r="D124" s="17"/>
      <c r="E124" s="22"/>
      <c r="F124" s="22"/>
      <c r="G124" s="362"/>
      <c r="H124" s="362"/>
      <c r="I124" s="362"/>
      <c r="J124" s="348"/>
      <c r="K124" s="15"/>
      <c r="L124" s="18"/>
      <c r="Q124" s="16"/>
      <c r="R124" s="29"/>
      <c r="T124" s="29"/>
      <c r="U124" s="29"/>
    </row>
    <row r="125" spans="2:21" ht="16.5" thickBot="1">
      <c r="B125" s="89" t="s">
        <v>3</v>
      </c>
      <c r="C125" s="17"/>
      <c r="D125" s="17"/>
      <c r="E125" s="22"/>
      <c r="F125" s="22"/>
      <c r="G125" s="362"/>
      <c r="H125" s="362"/>
      <c r="I125" s="362"/>
      <c r="J125" s="609"/>
      <c r="K125" s="32"/>
      <c r="L125" s="18"/>
      <c r="Q125" s="16"/>
      <c r="R125" s="29"/>
      <c r="T125" s="29"/>
      <c r="U125" s="29"/>
    </row>
    <row r="126" spans="2:21" ht="12.75" customHeight="1">
      <c r="B126" s="464" t="s">
        <v>11</v>
      </c>
      <c r="C126" s="452">
        <v>21000</v>
      </c>
      <c r="D126" s="437">
        <v>68390</v>
      </c>
      <c r="E126" s="448">
        <f>C126</f>
        <v>21000</v>
      </c>
      <c r="F126" s="448">
        <v>63713</v>
      </c>
      <c r="G126" s="437">
        <v>25000</v>
      </c>
      <c r="H126" s="437"/>
      <c r="I126" s="437"/>
      <c r="J126" s="605">
        <v>28000</v>
      </c>
      <c r="K126" s="30"/>
      <c r="L126" s="30"/>
      <c r="P126" s="356"/>
      <c r="Q126" s="16"/>
      <c r="R126" s="29"/>
      <c r="T126" s="29"/>
      <c r="U126" s="29"/>
    </row>
    <row r="127" spans="2:21" ht="12.75" customHeight="1">
      <c r="B127" s="465" t="s">
        <v>199</v>
      </c>
      <c r="C127" s="430"/>
      <c r="D127" s="398"/>
      <c r="E127" s="397"/>
      <c r="F127" s="397"/>
      <c r="G127" s="398"/>
      <c r="H127" s="398"/>
      <c r="I127" s="399"/>
      <c r="J127" s="602"/>
      <c r="K127" s="30"/>
      <c r="L127" s="30"/>
      <c r="P127" s="357"/>
      <c r="Q127" s="16"/>
      <c r="R127" s="29"/>
      <c r="T127" s="29"/>
      <c r="U127" s="29"/>
    </row>
    <row r="128" spans="2:21" ht="12.75" customHeight="1">
      <c r="B128" s="465" t="s">
        <v>200</v>
      </c>
      <c r="C128" s="430"/>
      <c r="D128" s="398"/>
      <c r="E128" s="595">
        <v>197957</v>
      </c>
      <c r="F128" s="595">
        <v>197957</v>
      </c>
      <c r="G128" s="398"/>
      <c r="H128" s="398"/>
      <c r="I128" s="399"/>
      <c r="J128" s="602"/>
      <c r="K128" s="30"/>
      <c r="L128" s="30"/>
      <c r="P128" s="357"/>
      <c r="Q128" s="16"/>
      <c r="R128" s="29"/>
      <c r="T128" s="29"/>
      <c r="U128" s="29"/>
    </row>
    <row r="129" spans="2:21" ht="14.25" thickBot="1">
      <c r="B129" s="553" t="s">
        <v>4</v>
      </c>
      <c r="C129" s="554">
        <v>593340</v>
      </c>
      <c r="D129" s="555">
        <v>566000</v>
      </c>
      <c r="E129" s="556">
        <f>C129+486+140800</f>
        <v>734626</v>
      </c>
      <c r="F129" s="556">
        <v>734626</v>
      </c>
      <c r="G129" s="555">
        <v>913428</v>
      </c>
      <c r="H129" s="555"/>
      <c r="I129" s="555"/>
      <c r="J129" s="613">
        <v>1038164</v>
      </c>
      <c r="K129" s="54"/>
      <c r="L129" s="72"/>
      <c r="P129" s="359"/>
      <c r="Q129" s="28"/>
      <c r="R129" s="29"/>
      <c r="T129" s="29"/>
      <c r="U129" s="29"/>
    </row>
    <row r="130" spans="1:21" s="11" customFormat="1" ht="14.25" thickBot="1">
      <c r="A130" s="124"/>
      <c r="B130" s="460" t="s">
        <v>5</v>
      </c>
      <c r="C130" s="373">
        <f>SUM(C126:C129)</f>
        <v>614340</v>
      </c>
      <c r="D130" s="360">
        <f>SUM(D126:D129)</f>
        <v>634390</v>
      </c>
      <c r="E130" s="371">
        <f>SUM(E126:E129)</f>
        <v>953583</v>
      </c>
      <c r="F130" s="371">
        <f>SUM(F126:F129)</f>
        <v>996296</v>
      </c>
      <c r="G130" s="360">
        <f>SUM(G126:G129)</f>
        <v>938428</v>
      </c>
      <c r="H130" s="372"/>
      <c r="I130" s="372">
        <f>SUM(I126:I129)</f>
        <v>0</v>
      </c>
      <c r="J130" s="384">
        <f>SUM(J126:J129)</f>
        <v>1066164</v>
      </c>
      <c r="K130" s="35"/>
      <c r="L130" s="56"/>
      <c r="P130" s="124"/>
      <c r="Q130" s="16"/>
      <c r="R130" s="52"/>
      <c r="S130" s="500"/>
      <c r="T130" s="52"/>
      <c r="U130" s="52"/>
    </row>
    <row r="131" spans="2:21" ht="7.5" customHeight="1" thickBot="1">
      <c r="B131" s="20"/>
      <c r="D131" s="362"/>
      <c r="G131" s="362"/>
      <c r="H131" s="362"/>
      <c r="I131" s="362"/>
      <c r="Q131" s="16"/>
      <c r="R131" s="29"/>
      <c r="T131" s="29"/>
      <c r="U131" s="29"/>
    </row>
    <row r="132" spans="2:21" ht="15" thickBot="1" thickTop="1">
      <c r="B132" s="340" t="s">
        <v>168</v>
      </c>
      <c r="C132" s="341"/>
      <c r="D132" s="343">
        <f>D130-D123</f>
        <v>132904</v>
      </c>
      <c r="E132" s="343">
        <f>E130-E123</f>
        <v>0</v>
      </c>
      <c r="F132" s="343">
        <f>F130-F123</f>
        <v>112330</v>
      </c>
      <c r="G132" s="343">
        <f>G130-G123</f>
        <v>0</v>
      </c>
      <c r="H132" s="343"/>
      <c r="I132" s="343">
        <f>I130-I123</f>
        <v>0</v>
      </c>
      <c r="J132" s="610">
        <f>J130-J123</f>
        <v>0</v>
      </c>
      <c r="Q132" s="16"/>
      <c r="R132" s="29"/>
      <c r="T132" s="29"/>
      <c r="U132" s="29"/>
    </row>
    <row r="133" spans="2:21" ht="14.25" thickTop="1">
      <c r="B133" s="20"/>
      <c r="G133" s="362"/>
      <c r="H133" s="362"/>
      <c r="I133" s="362"/>
      <c r="Q133" s="16"/>
      <c r="R133" s="29"/>
      <c r="T133" s="29"/>
      <c r="U133" s="29"/>
    </row>
    <row r="134" spans="2:21" ht="18" thickBot="1">
      <c r="B134" s="875" t="s">
        <v>15</v>
      </c>
      <c r="C134" s="875"/>
      <c r="D134" s="875"/>
      <c r="E134" s="875"/>
      <c r="F134" s="875"/>
      <c r="G134" s="875"/>
      <c r="H134" s="875"/>
      <c r="I134" s="875"/>
      <c r="J134" s="875"/>
      <c r="K134" s="875"/>
      <c r="L134" s="875"/>
      <c r="M134" s="875"/>
      <c r="N134" s="875"/>
      <c r="O134" s="875"/>
      <c r="Q134" s="16"/>
      <c r="R134" s="29"/>
      <c r="T134" s="29"/>
      <c r="U134" s="29"/>
    </row>
    <row r="135" spans="2:21" ht="15">
      <c r="B135" s="454" t="s">
        <v>0</v>
      </c>
      <c r="C135" s="93" t="s">
        <v>299</v>
      </c>
      <c r="D135" s="350" t="s">
        <v>137</v>
      </c>
      <c r="E135" s="93" t="s">
        <v>299</v>
      </c>
      <c r="F135" s="350" t="s">
        <v>137</v>
      </c>
      <c r="G135" s="93" t="s">
        <v>299</v>
      </c>
      <c r="H135" s="350"/>
      <c r="I135" s="383" t="s">
        <v>302</v>
      </c>
      <c r="J135" s="598" t="s">
        <v>165</v>
      </c>
      <c r="K135" s="9"/>
      <c r="L135" s="36"/>
      <c r="M135" s="1"/>
      <c r="N135" s="1"/>
      <c r="O135" s="41"/>
      <c r="P135" s="351" t="s">
        <v>136</v>
      </c>
      <c r="Q135" s="16"/>
      <c r="R135" s="29"/>
      <c r="T135" s="29"/>
      <c r="U135" s="29"/>
    </row>
    <row r="136" spans="2:21" ht="15.75" thickBot="1">
      <c r="B136" s="470"/>
      <c r="C136" s="539">
        <v>2015</v>
      </c>
      <c r="D136" s="353">
        <v>2015</v>
      </c>
      <c r="E136" s="540">
        <v>2016</v>
      </c>
      <c r="F136" s="540">
        <v>2016</v>
      </c>
      <c r="G136" s="353">
        <v>2017</v>
      </c>
      <c r="H136" s="537"/>
      <c r="I136" s="418" t="s">
        <v>303</v>
      </c>
      <c r="J136" s="599" t="s">
        <v>300</v>
      </c>
      <c r="K136" s="9"/>
      <c r="L136" s="36"/>
      <c r="M136" s="1"/>
      <c r="N136" s="1"/>
      <c r="O136" s="41"/>
      <c r="P136" s="355"/>
      <c r="Q136" s="16"/>
      <c r="R136" s="29"/>
      <c r="T136" s="29"/>
      <c r="U136" s="29"/>
    </row>
    <row r="137" spans="2:21" ht="13.5">
      <c r="B137" s="471" t="s">
        <v>315</v>
      </c>
      <c r="C137" s="467">
        <v>95000</v>
      </c>
      <c r="D137" s="437">
        <v>47883</v>
      </c>
      <c r="E137" s="448">
        <v>60000</v>
      </c>
      <c r="F137" s="448">
        <v>42131</v>
      </c>
      <c r="G137" s="437">
        <v>60000</v>
      </c>
      <c r="H137" s="437"/>
      <c r="I137" s="437"/>
      <c r="J137" s="605">
        <v>60000</v>
      </c>
      <c r="K137" s="4"/>
      <c r="L137" s="4"/>
      <c r="M137" s="31"/>
      <c r="N137" s="31"/>
      <c r="O137" s="10"/>
      <c r="P137" s="356"/>
      <c r="Q137" s="16"/>
      <c r="R137" s="29"/>
      <c r="T137" s="29"/>
      <c r="U137" s="29"/>
    </row>
    <row r="138" spans="2:21" ht="13.5">
      <c r="B138" s="472" t="s">
        <v>314</v>
      </c>
      <c r="C138" s="468"/>
      <c r="D138" s="398">
        <v>2902</v>
      </c>
      <c r="E138" s="397">
        <v>5000</v>
      </c>
      <c r="F138" s="397">
        <v>4116</v>
      </c>
      <c r="G138" s="398">
        <v>5000</v>
      </c>
      <c r="H138" s="398"/>
      <c r="I138" s="398"/>
      <c r="J138" s="602">
        <v>5000</v>
      </c>
      <c r="K138" s="4"/>
      <c r="L138" s="4"/>
      <c r="M138" s="31"/>
      <c r="N138" s="31"/>
      <c r="O138" s="10"/>
      <c r="P138" s="357"/>
      <c r="Q138" s="16"/>
      <c r="R138" s="29"/>
      <c r="T138" s="29"/>
      <c r="U138" s="29"/>
    </row>
    <row r="139" spans="2:21" ht="13.5">
      <c r="B139" s="478" t="s">
        <v>313</v>
      </c>
      <c r="C139" s="479"/>
      <c r="D139" s="423">
        <v>13904</v>
      </c>
      <c r="E139" s="422">
        <v>30000</v>
      </c>
      <c r="F139" s="422">
        <v>12739</v>
      </c>
      <c r="G139" s="423">
        <v>20000</v>
      </c>
      <c r="H139" s="423"/>
      <c r="I139" s="423"/>
      <c r="J139" s="614">
        <v>20000</v>
      </c>
      <c r="K139" s="4"/>
      <c r="L139" s="4"/>
      <c r="M139" s="31"/>
      <c r="N139" s="31"/>
      <c r="O139" s="10"/>
      <c r="P139" s="357"/>
      <c r="Q139" s="16"/>
      <c r="R139" s="29"/>
      <c r="T139" s="29"/>
      <c r="U139" s="29"/>
    </row>
    <row r="140" spans="2:21" ht="13.5">
      <c r="B140" s="476" t="s">
        <v>1</v>
      </c>
      <c r="C140" s="477">
        <v>25000</v>
      </c>
      <c r="D140" s="411">
        <v>800</v>
      </c>
      <c r="E140" s="410">
        <f>C140</f>
        <v>25000</v>
      </c>
      <c r="F140" s="410">
        <v>1990</v>
      </c>
      <c r="G140" s="411">
        <v>10000</v>
      </c>
      <c r="H140" s="411"/>
      <c r="I140" s="411"/>
      <c r="J140" s="601">
        <v>10000</v>
      </c>
      <c r="K140" s="4"/>
      <c r="L140" s="4"/>
      <c r="M140" s="31"/>
      <c r="N140" s="31"/>
      <c r="O140" s="10"/>
      <c r="P140" s="357"/>
      <c r="Q140" s="16"/>
      <c r="R140" s="29"/>
      <c r="T140" s="29"/>
      <c r="U140" s="29"/>
    </row>
    <row r="141" spans="2:21" ht="13.5">
      <c r="B141" s="473" t="s">
        <v>8</v>
      </c>
      <c r="C141" s="468">
        <v>36000</v>
      </c>
      <c r="D141" s="398">
        <v>39835</v>
      </c>
      <c r="E141" s="397">
        <f aca="true" t="shared" si="3" ref="E141:E148">C141</f>
        <v>36000</v>
      </c>
      <c r="F141" s="397">
        <v>80846</v>
      </c>
      <c r="G141" s="398">
        <v>50000</v>
      </c>
      <c r="H141" s="398"/>
      <c r="I141" s="398"/>
      <c r="J141" s="602">
        <v>50000</v>
      </c>
      <c r="K141" s="4"/>
      <c r="L141" s="4"/>
      <c r="M141" s="31"/>
      <c r="N141" s="31"/>
      <c r="O141" s="10"/>
      <c r="P141" s="357"/>
      <c r="Q141" s="16"/>
      <c r="R141" s="29"/>
      <c r="T141" s="29"/>
      <c r="U141" s="29"/>
    </row>
    <row r="142" spans="2:21" ht="13.5">
      <c r="B142" s="473" t="s">
        <v>9</v>
      </c>
      <c r="C142" s="468">
        <v>1000</v>
      </c>
      <c r="D142" s="398">
        <v>94</v>
      </c>
      <c r="E142" s="397">
        <f t="shared" si="3"/>
        <v>1000</v>
      </c>
      <c r="F142" s="397">
        <v>346</v>
      </c>
      <c r="G142" s="398">
        <v>15000</v>
      </c>
      <c r="H142" s="398"/>
      <c r="I142" s="399"/>
      <c r="J142" s="602">
        <v>15000</v>
      </c>
      <c r="K142" s="4"/>
      <c r="L142" s="4"/>
      <c r="M142" s="31"/>
      <c r="N142" s="31"/>
      <c r="O142" s="10"/>
      <c r="P142" s="357"/>
      <c r="Q142" s="16"/>
      <c r="R142" s="29"/>
      <c r="T142" s="29"/>
      <c r="U142" s="29"/>
    </row>
    <row r="143" spans="2:21" ht="13.5">
      <c r="B143" s="473" t="s">
        <v>16</v>
      </c>
      <c r="C143" s="468">
        <v>311000</v>
      </c>
      <c r="D143" s="398">
        <f>331542-68926+37020</f>
        <v>299636</v>
      </c>
      <c r="E143" s="397">
        <f t="shared" si="3"/>
        <v>311000</v>
      </c>
      <c r="F143" s="397">
        <v>140614</v>
      </c>
      <c r="G143" s="398">
        <v>250000</v>
      </c>
      <c r="H143" s="398"/>
      <c r="I143" s="399"/>
      <c r="J143" s="602">
        <v>250000</v>
      </c>
      <c r="K143" s="4"/>
      <c r="L143" s="4"/>
      <c r="M143" s="31"/>
      <c r="N143" s="31"/>
      <c r="O143" s="10"/>
      <c r="P143" s="357"/>
      <c r="Q143" s="124" t="s">
        <v>174</v>
      </c>
      <c r="R143" s="29"/>
      <c r="S143" s="516" t="s">
        <v>291</v>
      </c>
      <c r="T143" s="29"/>
      <c r="U143" s="29"/>
    </row>
    <row r="144" spans="2:21" ht="13.5">
      <c r="B144" s="473" t="s">
        <v>57</v>
      </c>
      <c r="C144" s="468">
        <v>2500</v>
      </c>
      <c r="D144" s="398">
        <v>2110</v>
      </c>
      <c r="E144" s="397">
        <f t="shared" si="3"/>
        <v>2500</v>
      </c>
      <c r="F144" s="397">
        <v>0</v>
      </c>
      <c r="G144" s="398"/>
      <c r="H144" s="398"/>
      <c r="I144" s="398"/>
      <c r="J144" s="602">
        <v>0</v>
      </c>
      <c r="K144" s="4"/>
      <c r="L144" s="4"/>
      <c r="M144" s="31"/>
      <c r="N144" s="31"/>
      <c r="O144" s="10"/>
      <c r="P144" s="357"/>
      <c r="Q144" s="53"/>
      <c r="R144" s="29"/>
      <c r="T144" s="29"/>
      <c r="U144" s="29"/>
    </row>
    <row r="145" spans="1:21" ht="13.5">
      <c r="A145" s="124">
        <v>1315</v>
      </c>
      <c r="B145" s="473" t="s">
        <v>59</v>
      </c>
      <c r="C145" s="468">
        <v>25000</v>
      </c>
      <c r="D145" s="398">
        <v>30675</v>
      </c>
      <c r="E145" s="397">
        <f t="shared" si="3"/>
        <v>25000</v>
      </c>
      <c r="F145" s="397">
        <v>3754</v>
      </c>
      <c r="G145" s="398">
        <v>66000</v>
      </c>
      <c r="H145" s="398"/>
      <c r="I145" s="399"/>
      <c r="J145" s="602">
        <v>66000</v>
      </c>
      <c r="K145" s="4"/>
      <c r="L145" s="4"/>
      <c r="M145" s="31"/>
      <c r="N145" s="31"/>
      <c r="O145" s="10"/>
      <c r="P145" s="357" t="s">
        <v>145</v>
      </c>
      <c r="Q145" s="53">
        <f>J145</f>
        <v>66000</v>
      </c>
      <c r="R145" s="29"/>
      <c r="S145" s="515">
        <v>41000</v>
      </c>
      <c r="T145" s="29"/>
      <c r="U145" s="29"/>
    </row>
    <row r="146" spans="1:21" ht="13.5">
      <c r="A146" s="124">
        <v>1309</v>
      </c>
      <c r="B146" s="473" t="s">
        <v>223</v>
      </c>
      <c r="C146" s="468">
        <v>20000</v>
      </c>
      <c r="D146" s="398">
        <v>124373</v>
      </c>
      <c r="E146" s="397">
        <f t="shared" si="3"/>
        <v>20000</v>
      </c>
      <c r="F146" s="397">
        <v>127566</v>
      </c>
      <c r="G146" s="398">
        <v>135000</v>
      </c>
      <c r="H146" s="398"/>
      <c r="I146" s="399"/>
      <c r="J146" s="602">
        <v>135000</v>
      </c>
      <c r="K146" s="4"/>
      <c r="L146" s="4"/>
      <c r="M146" s="31"/>
      <c r="N146" s="31"/>
      <c r="O146" s="10"/>
      <c r="P146" s="357" t="s">
        <v>148</v>
      </c>
      <c r="Q146" s="53">
        <f>J146</f>
        <v>135000</v>
      </c>
      <c r="R146" s="29"/>
      <c r="S146" s="515">
        <v>90000</v>
      </c>
      <c r="T146" s="29"/>
      <c r="U146" s="29"/>
    </row>
    <row r="147" spans="1:21" ht="13.5">
      <c r="A147" s="124">
        <v>1327</v>
      </c>
      <c r="B147" s="473" t="s">
        <v>203</v>
      </c>
      <c r="C147" s="468">
        <v>15000</v>
      </c>
      <c r="D147" s="398">
        <v>14748</v>
      </c>
      <c r="E147" s="397">
        <f t="shared" si="3"/>
        <v>15000</v>
      </c>
      <c r="F147" s="397">
        <v>15574</v>
      </c>
      <c r="G147" s="398">
        <v>20000</v>
      </c>
      <c r="H147" s="398"/>
      <c r="I147" s="399"/>
      <c r="J147" s="602">
        <v>40000</v>
      </c>
      <c r="K147" s="4"/>
      <c r="L147" s="4"/>
      <c r="M147" s="31"/>
      <c r="N147" s="31"/>
      <c r="O147" s="10"/>
      <c r="P147" s="357" t="s">
        <v>144</v>
      </c>
      <c r="Q147" s="53">
        <f>J147</f>
        <v>40000</v>
      </c>
      <c r="R147" s="29"/>
      <c r="S147" s="515"/>
      <c r="T147" s="29"/>
      <c r="U147" s="29"/>
    </row>
    <row r="148" spans="1:21" ht="13.5">
      <c r="A148" s="124">
        <v>1317</v>
      </c>
      <c r="B148" s="473" t="s">
        <v>204</v>
      </c>
      <c r="C148" s="468">
        <v>30000</v>
      </c>
      <c r="D148" s="398"/>
      <c r="E148" s="397">
        <f t="shared" si="3"/>
        <v>30000</v>
      </c>
      <c r="F148" s="397">
        <v>39066</v>
      </c>
      <c r="G148" s="398">
        <v>32000</v>
      </c>
      <c r="H148" s="398"/>
      <c r="I148" s="399"/>
      <c r="J148" s="602">
        <v>32000</v>
      </c>
      <c r="K148" s="4"/>
      <c r="L148" s="4"/>
      <c r="M148" s="31"/>
      <c r="N148" s="31"/>
      <c r="O148" s="10"/>
      <c r="P148" s="357" t="s">
        <v>234</v>
      </c>
      <c r="Q148" s="53">
        <f>J148</f>
        <v>32000</v>
      </c>
      <c r="R148" s="29"/>
      <c r="S148" s="515">
        <v>12000</v>
      </c>
      <c r="T148" s="29"/>
      <c r="U148" s="29"/>
    </row>
    <row r="149" spans="2:21" ht="14.25" thickBot="1">
      <c r="B149" s="557" t="s">
        <v>10</v>
      </c>
      <c r="C149" s="558">
        <v>751129</v>
      </c>
      <c r="D149" s="551">
        <v>731469</v>
      </c>
      <c r="E149" s="552">
        <v>753477</v>
      </c>
      <c r="F149" s="552">
        <v>703845</v>
      </c>
      <c r="G149" s="551">
        <v>917284</v>
      </c>
      <c r="H149" s="551"/>
      <c r="I149" s="551"/>
      <c r="J149" s="612">
        <v>1050442</v>
      </c>
      <c r="K149" s="4"/>
      <c r="L149" s="4"/>
      <c r="M149" s="31"/>
      <c r="N149" s="31"/>
      <c r="O149" s="10"/>
      <c r="P149" s="359"/>
      <c r="Q149" s="16"/>
      <c r="R149" s="29"/>
      <c r="S149" s="515"/>
      <c r="T149" s="29"/>
      <c r="U149" s="29"/>
    </row>
    <row r="150" spans="1:21" s="11" customFormat="1" ht="14.25" thickBot="1">
      <c r="A150" s="124"/>
      <c r="B150" s="475" t="s">
        <v>2</v>
      </c>
      <c r="C150" s="331">
        <f>SUM(C137:C149)</f>
        <v>1311629</v>
      </c>
      <c r="D150" s="365">
        <f>SUM(D137:D149)</f>
        <v>1308429</v>
      </c>
      <c r="E150" s="77">
        <f>SUM(E137:E149)</f>
        <v>1313977</v>
      </c>
      <c r="F150" s="77">
        <f>SUM(F137:F149)</f>
        <v>1172587</v>
      </c>
      <c r="G150" s="365">
        <f>SUM(G137:G149)</f>
        <v>1580284</v>
      </c>
      <c r="H150" s="365"/>
      <c r="I150" s="365">
        <f>SUM(I137:I149)</f>
        <v>0</v>
      </c>
      <c r="J150" s="365">
        <f>SUM(J137:J149)</f>
        <v>1733442</v>
      </c>
      <c r="K150" s="5"/>
      <c r="L150" s="85"/>
      <c r="M150" s="51"/>
      <c r="N150" s="51"/>
      <c r="O150" s="83"/>
      <c r="P150" s="124"/>
      <c r="Q150" s="511">
        <f>SUM(Q144:Q149)</f>
        <v>273000</v>
      </c>
      <c r="R150" s="52"/>
      <c r="S150" s="519">
        <f>SUM(S145:S149)</f>
        <v>143000</v>
      </c>
      <c r="T150" s="52"/>
      <c r="U150" s="52"/>
    </row>
    <row r="151" spans="2:21" ht="15.75" thickBot="1">
      <c r="B151" s="21"/>
      <c r="C151" s="23"/>
      <c r="D151" s="23"/>
      <c r="E151" s="22"/>
      <c r="F151" s="22"/>
      <c r="G151" s="362"/>
      <c r="H151" s="362"/>
      <c r="I151" s="362"/>
      <c r="K151" s="31"/>
      <c r="L151" s="31"/>
      <c r="M151" s="31"/>
      <c r="N151" s="31"/>
      <c r="O151" s="10"/>
      <c r="Q151" s="29"/>
      <c r="R151" s="29"/>
      <c r="T151" s="29"/>
      <c r="U151" s="29"/>
    </row>
    <row r="152" spans="2:21" ht="15.75" thickBot="1">
      <c r="B152" s="24" t="s">
        <v>3</v>
      </c>
      <c r="C152" s="23"/>
      <c r="D152" s="23"/>
      <c r="E152" s="22"/>
      <c r="F152" s="22"/>
      <c r="G152" s="362"/>
      <c r="H152" s="362"/>
      <c r="I152" s="362"/>
      <c r="K152" s="31"/>
      <c r="L152" s="31"/>
      <c r="M152" s="31"/>
      <c r="N152" s="31"/>
      <c r="O152" s="10"/>
      <c r="Q152" s="135"/>
      <c r="R152" s="29"/>
      <c r="T152" s="29"/>
      <c r="U152" s="29"/>
    </row>
    <row r="153" spans="2:21" ht="13.5">
      <c r="B153" s="471" t="s">
        <v>11</v>
      </c>
      <c r="C153" s="467">
        <v>265000</v>
      </c>
      <c r="D153" s="437">
        <v>421110</v>
      </c>
      <c r="E153" s="448">
        <f>C153</f>
        <v>265000</v>
      </c>
      <c r="F153" s="448">
        <v>272081</v>
      </c>
      <c r="G153" s="437">
        <v>345000</v>
      </c>
      <c r="H153" s="437"/>
      <c r="I153" s="596"/>
      <c r="J153" s="605">
        <v>380000</v>
      </c>
      <c r="K153" s="4"/>
      <c r="L153" s="4"/>
      <c r="M153" s="31"/>
      <c r="N153" s="31"/>
      <c r="O153" s="10"/>
      <c r="P153" s="356"/>
      <c r="Q153" s="29"/>
      <c r="R153" s="16" t="s">
        <v>263</v>
      </c>
      <c r="T153" s="29"/>
      <c r="U153" s="29"/>
    </row>
    <row r="154" spans="2:21" ht="13.5">
      <c r="B154" s="476" t="s">
        <v>227</v>
      </c>
      <c r="C154" s="477"/>
      <c r="D154" s="411"/>
      <c r="E154" s="410"/>
      <c r="F154" s="410"/>
      <c r="G154" s="411"/>
      <c r="H154" s="411"/>
      <c r="I154" s="412"/>
      <c r="J154" s="601"/>
      <c r="K154" s="4"/>
      <c r="L154" s="4"/>
      <c r="M154" s="31"/>
      <c r="N154" s="31"/>
      <c r="O154" s="10"/>
      <c r="P154" s="414"/>
      <c r="Q154" s="29"/>
      <c r="R154" s="29"/>
      <c r="T154" s="29"/>
      <c r="U154" s="29"/>
    </row>
    <row r="155" spans="2:21" ht="13.5">
      <c r="B155" s="476" t="s">
        <v>12</v>
      </c>
      <c r="C155" s="477"/>
      <c r="D155" s="411"/>
      <c r="E155" s="410"/>
      <c r="F155" s="410">
        <v>27276</v>
      </c>
      <c r="G155" s="411"/>
      <c r="H155" s="411"/>
      <c r="I155" s="412"/>
      <c r="J155" s="601"/>
      <c r="K155" s="4"/>
      <c r="L155" s="4"/>
      <c r="M155" s="31"/>
      <c r="N155" s="31"/>
      <c r="O155" s="10"/>
      <c r="P155" s="414"/>
      <c r="Q155" s="29"/>
      <c r="R155" s="29"/>
      <c r="T155" s="29"/>
      <c r="U155" s="29"/>
    </row>
    <row r="156" spans="2:21" ht="13.5">
      <c r="B156" s="559" t="s">
        <v>4</v>
      </c>
      <c r="C156" s="560">
        <v>954129</v>
      </c>
      <c r="D156" s="543">
        <v>899000</v>
      </c>
      <c r="E156" s="544">
        <v>956477</v>
      </c>
      <c r="F156" s="544">
        <v>956477</v>
      </c>
      <c r="G156" s="543">
        <v>1130284</v>
      </c>
      <c r="H156" s="543"/>
      <c r="I156" s="543"/>
      <c r="J156" s="606">
        <v>1228442</v>
      </c>
      <c r="K156" s="4"/>
      <c r="L156" s="4"/>
      <c r="M156" s="31"/>
      <c r="N156" s="31"/>
      <c r="O156" s="10"/>
      <c r="P156" s="357"/>
      <c r="Q156" s="29"/>
      <c r="R156" s="29"/>
      <c r="T156" s="29"/>
      <c r="U156" s="29"/>
    </row>
    <row r="157" spans="2:21" ht="12.75">
      <c r="B157" s="574" t="s">
        <v>60</v>
      </c>
      <c r="C157" s="575">
        <v>2500</v>
      </c>
      <c r="D157" s="565">
        <v>2500</v>
      </c>
      <c r="E157" s="566">
        <f>C157</f>
        <v>2500</v>
      </c>
      <c r="F157" s="566">
        <v>2500</v>
      </c>
      <c r="G157" s="399"/>
      <c r="H157" s="399"/>
      <c r="I157" s="399"/>
      <c r="J157" s="615"/>
      <c r="K157" s="4"/>
      <c r="L157" s="4"/>
      <c r="M157" s="31"/>
      <c r="N157" s="31"/>
      <c r="O157" s="10"/>
      <c r="P157" s="357"/>
      <c r="Q157" s="29"/>
      <c r="R157" s="29"/>
      <c r="T157" s="29"/>
      <c r="U157" s="29"/>
    </row>
    <row r="158" spans="2:21" ht="13.5">
      <c r="B158" s="574" t="s">
        <v>329</v>
      </c>
      <c r="C158" s="575">
        <v>20000</v>
      </c>
      <c r="D158" s="565">
        <v>20000</v>
      </c>
      <c r="E158" s="566">
        <f>C158</f>
        <v>20000</v>
      </c>
      <c r="F158" s="566">
        <v>20000</v>
      </c>
      <c r="G158" s="565">
        <v>40000</v>
      </c>
      <c r="H158" s="565"/>
      <c r="I158" s="565"/>
      <c r="J158" s="608">
        <v>40000</v>
      </c>
      <c r="K158" s="4"/>
      <c r="L158" s="4"/>
      <c r="M158" s="31"/>
      <c r="N158" s="31"/>
      <c r="O158" s="10"/>
      <c r="P158" s="357"/>
      <c r="Q158" s="29"/>
      <c r="R158" s="16">
        <f>J158</f>
        <v>40000</v>
      </c>
      <c r="T158" s="29"/>
      <c r="U158" s="29"/>
    </row>
    <row r="159" spans="2:21" ht="13.5">
      <c r="B159" s="574" t="s">
        <v>330</v>
      </c>
      <c r="C159" s="575">
        <v>25000</v>
      </c>
      <c r="D159" s="565">
        <v>25000</v>
      </c>
      <c r="E159" s="566">
        <f>C159</f>
        <v>25000</v>
      </c>
      <c r="F159" s="566">
        <v>25000</v>
      </c>
      <c r="G159" s="565">
        <v>25000</v>
      </c>
      <c r="H159" s="565"/>
      <c r="I159" s="565"/>
      <c r="J159" s="608">
        <v>25000</v>
      </c>
      <c r="K159" s="4"/>
      <c r="L159" s="4"/>
      <c r="M159" s="31"/>
      <c r="N159" s="31"/>
      <c r="O159" s="10"/>
      <c r="P159" s="357"/>
      <c r="Q159" s="29"/>
      <c r="R159" s="16">
        <f>J159</f>
        <v>25000</v>
      </c>
      <c r="T159" s="29"/>
      <c r="U159" s="29"/>
    </row>
    <row r="160" spans="2:21" ht="13.5">
      <c r="B160" s="574" t="s">
        <v>205</v>
      </c>
      <c r="C160" s="575"/>
      <c r="D160" s="565">
        <v>80000</v>
      </c>
      <c r="E160" s="439"/>
      <c r="F160" s="439"/>
      <c r="G160" s="399"/>
      <c r="H160" s="399"/>
      <c r="I160" s="399"/>
      <c r="J160" s="615"/>
      <c r="K160" s="4"/>
      <c r="L160" s="4"/>
      <c r="M160" s="31"/>
      <c r="N160" s="31"/>
      <c r="O160" s="10"/>
      <c r="P160" s="357"/>
      <c r="Q160" s="29"/>
      <c r="R160" s="16"/>
      <c r="T160" s="29"/>
      <c r="U160" s="29"/>
    </row>
    <row r="161" spans="2:21" ht="13.5">
      <c r="B161" s="574" t="s">
        <v>331</v>
      </c>
      <c r="C161" s="575">
        <v>15000</v>
      </c>
      <c r="D161" s="565" t="s">
        <v>207</v>
      </c>
      <c r="E161" s="566">
        <f>C161</f>
        <v>15000</v>
      </c>
      <c r="F161" s="566">
        <v>15000</v>
      </c>
      <c r="G161" s="565">
        <v>20000</v>
      </c>
      <c r="H161" s="565"/>
      <c r="I161" s="565"/>
      <c r="J161" s="608">
        <v>40000</v>
      </c>
      <c r="K161" s="4"/>
      <c r="L161" s="4"/>
      <c r="M161" s="31"/>
      <c r="N161" s="31"/>
      <c r="O161" s="10"/>
      <c r="P161" s="357"/>
      <c r="Q161" s="29"/>
      <c r="R161" s="16">
        <f>J161</f>
        <v>40000</v>
      </c>
      <c r="T161" s="29"/>
      <c r="U161" s="29"/>
    </row>
    <row r="162" spans="2:21" ht="13.5">
      <c r="B162" s="572" t="s">
        <v>332</v>
      </c>
      <c r="C162" s="573">
        <v>30000</v>
      </c>
      <c r="D162" s="565"/>
      <c r="E162" s="566">
        <f>C162</f>
        <v>30000</v>
      </c>
      <c r="F162" s="566">
        <v>30000</v>
      </c>
      <c r="G162" s="565">
        <v>20000</v>
      </c>
      <c r="H162" s="565"/>
      <c r="I162" s="565"/>
      <c r="J162" s="608">
        <v>20000</v>
      </c>
      <c r="K162" s="4"/>
      <c r="L162" s="4"/>
      <c r="M162" s="31"/>
      <c r="N162" s="31"/>
      <c r="O162" s="10"/>
      <c r="P162" s="357"/>
      <c r="Q162" s="29"/>
      <c r="R162" s="16">
        <f>J162</f>
        <v>20000</v>
      </c>
      <c r="T162" s="29"/>
      <c r="U162" s="29"/>
    </row>
    <row r="163" spans="2:21" ht="14.25" thickBot="1">
      <c r="B163" s="523" t="s">
        <v>209</v>
      </c>
      <c r="C163" s="524"/>
      <c r="D163" s="408">
        <v>12500</v>
      </c>
      <c r="E163" s="482"/>
      <c r="F163" s="482"/>
      <c r="G163" s="408"/>
      <c r="H163" s="408"/>
      <c r="I163" s="408"/>
      <c r="J163" s="603"/>
      <c r="K163" s="4"/>
      <c r="L163" s="4"/>
      <c r="M163" s="31"/>
      <c r="N163" s="31"/>
      <c r="O163" s="10"/>
      <c r="P163" s="359"/>
      <c r="T163" s="29"/>
      <c r="U163" s="29"/>
    </row>
    <row r="164" spans="1:21" s="11" customFormat="1" ht="14.25" thickBot="1">
      <c r="A164" s="124"/>
      <c r="B164" s="490" t="s">
        <v>5</v>
      </c>
      <c r="C164" s="173">
        <f>SUM(C153:C163)</f>
        <v>1311629</v>
      </c>
      <c r="D164" s="360">
        <f>SUM(D153:D163)</f>
        <v>1460110</v>
      </c>
      <c r="E164" s="149">
        <f>SUM(E153:E163)</f>
        <v>1313977</v>
      </c>
      <c r="F164" s="149">
        <f>SUM(F153:F163)</f>
        <v>1348334</v>
      </c>
      <c r="G164" s="360">
        <f>SUM(G153:G163)</f>
        <v>1580284</v>
      </c>
      <c r="H164" s="360"/>
      <c r="I164" s="360">
        <f>SUM(I153:I163)</f>
        <v>0</v>
      </c>
      <c r="J164" s="360">
        <f>SUM(J153:J163)</f>
        <v>1733442</v>
      </c>
      <c r="K164" s="51"/>
      <c r="L164" s="85"/>
      <c r="M164" s="51"/>
      <c r="N164" s="51"/>
      <c r="O164" s="83"/>
      <c r="P164" s="124"/>
      <c r="R164" s="510">
        <f>SUM(R158:R163)</f>
        <v>125000</v>
      </c>
      <c r="S164" s="500"/>
      <c r="T164" s="52"/>
      <c r="U164" s="52"/>
    </row>
    <row r="165" spans="1:21" s="11" customFormat="1" ht="9" customHeight="1" thickBot="1">
      <c r="A165" s="124"/>
      <c r="B165" s="137"/>
      <c r="C165" s="51"/>
      <c r="D165" s="51"/>
      <c r="E165" s="5"/>
      <c r="F165" s="5"/>
      <c r="G165" s="367"/>
      <c r="H165" s="367"/>
      <c r="I165" s="367"/>
      <c r="J165" s="609"/>
      <c r="K165" s="51"/>
      <c r="L165" s="85"/>
      <c r="M165" s="51"/>
      <c r="N165" s="51"/>
      <c r="O165" s="83"/>
      <c r="P165" s="124"/>
      <c r="S165" s="500"/>
      <c r="T165" s="52"/>
      <c r="U165" s="52"/>
    </row>
    <row r="166" spans="1:21" s="11" customFormat="1" ht="15" thickBot="1" thickTop="1">
      <c r="A166" s="124"/>
      <c r="B166" s="340" t="s">
        <v>169</v>
      </c>
      <c r="C166" s="341"/>
      <c r="D166" s="343">
        <f>D164-D150</f>
        <v>151681</v>
      </c>
      <c r="E166" s="343">
        <f>E164-E150</f>
        <v>0</v>
      </c>
      <c r="F166" s="343">
        <f>F164-F150</f>
        <v>175747</v>
      </c>
      <c r="G166" s="343">
        <f>G164-G150</f>
        <v>0</v>
      </c>
      <c r="H166" s="343"/>
      <c r="I166" s="343">
        <f>I164-I150</f>
        <v>0</v>
      </c>
      <c r="J166" s="610">
        <f>J164-J150</f>
        <v>0</v>
      </c>
      <c r="K166" s="51"/>
      <c r="L166" s="85"/>
      <c r="M166" s="51"/>
      <c r="N166" s="51"/>
      <c r="O166" s="83"/>
      <c r="P166" s="124"/>
      <c r="S166" s="500"/>
      <c r="T166" s="52"/>
      <c r="U166" s="52"/>
    </row>
    <row r="167" spans="1:21" s="11" customFormat="1" ht="14.25" thickTop="1">
      <c r="A167" s="124"/>
      <c r="B167" s="137"/>
      <c r="C167" s="51"/>
      <c r="D167" s="51"/>
      <c r="E167" s="5"/>
      <c r="F167" s="5"/>
      <c r="G167" s="367"/>
      <c r="H167" s="367"/>
      <c r="I167" s="367"/>
      <c r="J167" s="609"/>
      <c r="K167" s="51"/>
      <c r="L167" s="85"/>
      <c r="M167" s="51"/>
      <c r="N167" s="51"/>
      <c r="O167" s="83"/>
      <c r="P167" s="124"/>
      <c r="S167" s="500"/>
      <c r="T167" s="52"/>
      <c r="U167" s="52"/>
    </row>
    <row r="168" spans="1:21" s="6" customFormat="1" ht="18" thickBot="1">
      <c r="A168" s="63"/>
      <c r="B168" s="875" t="s">
        <v>62</v>
      </c>
      <c r="C168" s="875"/>
      <c r="D168" s="875"/>
      <c r="E168" s="875"/>
      <c r="F168" s="875"/>
      <c r="G168" s="875"/>
      <c r="H168" s="875"/>
      <c r="I168" s="875"/>
      <c r="J168" s="875"/>
      <c r="K168" s="875"/>
      <c r="L168" s="875"/>
      <c r="M168" s="875"/>
      <c r="N168" s="875"/>
      <c r="O168" s="875"/>
      <c r="P168" s="63"/>
      <c r="S168" s="7"/>
      <c r="T168" s="25"/>
      <c r="U168" s="25"/>
    </row>
    <row r="169" spans="1:19" s="25" customFormat="1" ht="15">
      <c r="A169" s="68"/>
      <c r="B169" s="454" t="s">
        <v>0</v>
      </c>
      <c r="C169" s="93" t="s">
        <v>299</v>
      </c>
      <c r="D169" s="350" t="s">
        <v>137</v>
      </c>
      <c r="E169" s="93" t="s">
        <v>299</v>
      </c>
      <c r="F169" s="350" t="s">
        <v>137</v>
      </c>
      <c r="G169" s="93" t="s">
        <v>299</v>
      </c>
      <c r="H169" s="350"/>
      <c r="I169" s="383" t="s">
        <v>302</v>
      </c>
      <c r="J169" s="598" t="s">
        <v>165</v>
      </c>
      <c r="K169" s="9"/>
      <c r="L169" s="36"/>
      <c r="M169" s="1"/>
      <c r="N169" s="1"/>
      <c r="O169" s="41"/>
      <c r="P169" s="351" t="s">
        <v>136</v>
      </c>
      <c r="S169" s="57"/>
    </row>
    <row r="170" spans="1:19" s="25" customFormat="1" ht="15.75" thickBot="1">
      <c r="A170" s="68"/>
      <c r="B170" s="455"/>
      <c r="C170" s="539">
        <v>2015</v>
      </c>
      <c r="D170" s="353">
        <v>2015</v>
      </c>
      <c r="E170" s="540">
        <v>2016</v>
      </c>
      <c r="F170" s="540">
        <v>2016</v>
      </c>
      <c r="G170" s="353">
        <v>2017</v>
      </c>
      <c r="H170" s="537"/>
      <c r="I170" s="418" t="s">
        <v>303</v>
      </c>
      <c r="J170" s="599" t="s">
        <v>300</v>
      </c>
      <c r="K170" s="9"/>
      <c r="L170" s="36"/>
      <c r="M170" s="1"/>
      <c r="N170" s="1"/>
      <c r="O170" s="41"/>
      <c r="P170" s="355"/>
      <c r="S170" s="57"/>
    </row>
    <row r="171" spans="1:19" s="25" customFormat="1" ht="13.5">
      <c r="A171" s="68"/>
      <c r="B171" s="476" t="s">
        <v>1</v>
      </c>
      <c r="C171" s="477">
        <v>10000</v>
      </c>
      <c r="D171" s="411">
        <v>0</v>
      </c>
      <c r="E171" s="410">
        <f>C171</f>
        <v>10000</v>
      </c>
      <c r="F171" s="410">
        <v>0</v>
      </c>
      <c r="G171" s="411">
        <v>5000</v>
      </c>
      <c r="H171" s="411"/>
      <c r="I171" s="411"/>
      <c r="J171" s="601">
        <v>5000</v>
      </c>
      <c r="K171" s="4"/>
      <c r="L171" s="4"/>
      <c r="M171" s="31"/>
      <c r="N171" s="31"/>
      <c r="O171" s="10"/>
      <c r="P171" s="374"/>
      <c r="S171" s="57"/>
    </row>
    <row r="172" spans="1:19" s="25" customFormat="1" ht="13.5">
      <c r="A172" s="68"/>
      <c r="B172" s="473" t="s">
        <v>8</v>
      </c>
      <c r="C172" s="468">
        <v>40000</v>
      </c>
      <c r="D172" s="398">
        <v>12723</v>
      </c>
      <c r="E172" s="397">
        <f>C172</f>
        <v>40000</v>
      </c>
      <c r="F172" s="397">
        <v>71068</v>
      </c>
      <c r="G172" s="398">
        <v>20000</v>
      </c>
      <c r="H172" s="398"/>
      <c r="I172" s="398"/>
      <c r="J172" s="602">
        <v>20000</v>
      </c>
      <c r="K172" s="4"/>
      <c r="L172" s="4"/>
      <c r="M172" s="31"/>
      <c r="N172" s="31"/>
      <c r="O172" s="10"/>
      <c r="P172" s="375"/>
      <c r="S172" s="57"/>
    </row>
    <row r="173" spans="1:19" s="25" customFormat="1" ht="13.5">
      <c r="A173" s="68"/>
      <c r="B173" s="473" t="s">
        <v>9</v>
      </c>
      <c r="C173" s="468">
        <v>1000</v>
      </c>
      <c r="D173" s="398">
        <v>115</v>
      </c>
      <c r="E173" s="397">
        <f>C173</f>
        <v>1000</v>
      </c>
      <c r="F173" s="397">
        <v>64</v>
      </c>
      <c r="G173" s="398">
        <v>5000</v>
      </c>
      <c r="H173" s="398"/>
      <c r="I173" s="398"/>
      <c r="J173" s="602">
        <v>5000</v>
      </c>
      <c r="K173" s="4"/>
      <c r="L173" s="4"/>
      <c r="M173" s="31"/>
      <c r="N173" s="31"/>
      <c r="O173" s="10"/>
      <c r="P173" s="375"/>
      <c r="S173" s="57"/>
    </row>
    <row r="174" spans="1:19" s="25" customFormat="1" ht="13.5">
      <c r="A174" s="68"/>
      <c r="B174" s="473" t="s">
        <v>16</v>
      </c>
      <c r="C174" s="468">
        <v>95000</v>
      </c>
      <c r="D174" s="398"/>
      <c r="E174" s="397">
        <f>C174</f>
        <v>95000</v>
      </c>
      <c r="F174" s="397">
        <v>3014</v>
      </c>
      <c r="G174" s="398">
        <v>22000</v>
      </c>
      <c r="H174" s="398"/>
      <c r="I174" s="398"/>
      <c r="J174" s="602">
        <v>22000</v>
      </c>
      <c r="K174" s="27"/>
      <c r="L174" s="4"/>
      <c r="M174" s="31"/>
      <c r="N174" s="31"/>
      <c r="O174" s="10"/>
      <c r="P174" s="375"/>
      <c r="S174" s="57"/>
    </row>
    <row r="175" spans="1:19" s="25" customFormat="1" ht="13.5">
      <c r="A175" s="68"/>
      <c r="B175" s="561" t="s">
        <v>10</v>
      </c>
      <c r="C175" s="562">
        <v>612871</v>
      </c>
      <c r="D175" s="547">
        <v>618557</v>
      </c>
      <c r="E175" s="548">
        <v>615136</v>
      </c>
      <c r="F175" s="548">
        <v>562379</v>
      </c>
      <c r="G175" s="547">
        <v>837462</v>
      </c>
      <c r="H175" s="547"/>
      <c r="I175" s="547"/>
      <c r="J175" s="616">
        <v>886642</v>
      </c>
      <c r="K175" s="4"/>
      <c r="L175" s="4"/>
      <c r="M175" s="31"/>
      <c r="N175" s="31"/>
      <c r="O175" s="10"/>
      <c r="P175" s="357"/>
      <c r="Q175" s="124" t="s">
        <v>174</v>
      </c>
      <c r="S175" s="57"/>
    </row>
    <row r="176" spans="1:19" s="25" customFormat="1" ht="13.5">
      <c r="A176" s="68">
        <v>1351</v>
      </c>
      <c r="B176" s="473" t="s">
        <v>65</v>
      </c>
      <c r="C176" s="468">
        <v>90000</v>
      </c>
      <c r="D176" s="398">
        <v>70399</v>
      </c>
      <c r="E176" s="397">
        <f>C176</f>
        <v>90000</v>
      </c>
      <c r="F176" s="397">
        <v>85637</v>
      </c>
      <c r="G176" s="398">
        <v>90000</v>
      </c>
      <c r="H176" s="398"/>
      <c r="I176" s="398"/>
      <c r="J176" s="602">
        <v>80000</v>
      </c>
      <c r="K176" s="4"/>
      <c r="L176" s="4"/>
      <c r="M176" s="31"/>
      <c r="N176" s="31"/>
      <c r="O176" s="10"/>
      <c r="P176" s="357" t="s">
        <v>253</v>
      </c>
      <c r="Q176" s="57">
        <f>C176</f>
        <v>90000</v>
      </c>
      <c r="S176" s="57"/>
    </row>
    <row r="177" spans="1:19" s="25" customFormat="1" ht="13.5">
      <c r="A177" s="68">
        <v>1350</v>
      </c>
      <c r="B177" s="473" t="s">
        <v>210</v>
      </c>
      <c r="C177" s="468">
        <v>30000</v>
      </c>
      <c r="D177" s="398">
        <v>16000</v>
      </c>
      <c r="E177" s="397">
        <f>C177</f>
        <v>30000</v>
      </c>
      <c r="F177" s="397">
        <v>23774</v>
      </c>
      <c r="G177" s="398">
        <v>30000</v>
      </c>
      <c r="H177" s="398"/>
      <c r="I177" s="398"/>
      <c r="J177" s="602">
        <v>30000</v>
      </c>
      <c r="K177" s="4"/>
      <c r="L177" s="4"/>
      <c r="M177" s="31"/>
      <c r="N177" s="31"/>
      <c r="O177" s="10"/>
      <c r="P177" s="357" t="s">
        <v>149</v>
      </c>
      <c r="Q177" s="57">
        <f>C177</f>
        <v>30000</v>
      </c>
      <c r="S177" s="57"/>
    </row>
    <row r="178" spans="1:19" s="25" customFormat="1" ht="14.25" thickBot="1">
      <c r="A178" s="68">
        <v>1352</v>
      </c>
      <c r="B178" s="493" t="s">
        <v>63</v>
      </c>
      <c r="C178" s="479">
        <v>260000</v>
      </c>
      <c r="D178" s="492">
        <v>110000</v>
      </c>
      <c r="E178" s="422">
        <f>C178</f>
        <v>260000</v>
      </c>
      <c r="F178" s="538">
        <v>236919</v>
      </c>
      <c r="G178" s="492">
        <v>200000</v>
      </c>
      <c r="H178" s="492"/>
      <c r="I178" s="492"/>
      <c r="J178" s="614">
        <v>180000</v>
      </c>
      <c r="K178" s="4"/>
      <c r="L178" s="4"/>
      <c r="M178" s="31"/>
      <c r="N178" s="31"/>
      <c r="O178" s="10"/>
      <c r="P178" s="359" t="s">
        <v>147</v>
      </c>
      <c r="Q178" s="57">
        <v>200000</v>
      </c>
      <c r="S178" s="57"/>
    </row>
    <row r="179" spans="1:19" s="25" customFormat="1" ht="14.25" thickBot="1">
      <c r="A179" s="68"/>
      <c r="B179" s="475" t="s">
        <v>2</v>
      </c>
      <c r="C179" s="173">
        <f>SUM(C171:C178)</f>
        <v>1138871</v>
      </c>
      <c r="D179" s="360">
        <f>SUM(D171:D178)</f>
        <v>827794</v>
      </c>
      <c r="E179" s="149">
        <f>SUM(E171:E178)</f>
        <v>1141136</v>
      </c>
      <c r="F179" s="149">
        <f>SUM(F171:F178)</f>
        <v>982855</v>
      </c>
      <c r="G179" s="360">
        <f>SUM(G171:G178)</f>
        <v>1209462</v>
      </c>
      <c r="H179" s="360"/>
      <c r="I179" s="360">
        <f>SUM(I171:I178)</f>
        <v>0</v>
      </c>
      <c r="J179" s="360">
        <f>SUM(J171:J178)</f>
        <v>1228642</v>
      </c>
      <c r="K179" s="5"/>
      <c r="L179" s="85"/>
      <c r="M179" s="51"/>
      <c r="N179" s="51"/>
      <c r="O179" s="83"/>
      <c r="P179" s="68"/>
      <c r="Q179" s="509">
        <f>SUM(Q176:Q178)</f>
        <v>320000</v>
      </c>
      <c r="S179" s="57"/>
    </row>
    <row r="180" spans="1:19" s="29" customFormat="1" ht="15.75" thickBot="1">
      <c r="A180" s="278"/>
      <c r="B180" s="21"/>
      <c r="C180" s="23"/>
      <c r="D180" s="362"/>
      <c r="E180" s="22"/>
      <c r="F180" s="22"/>
      <c r="G180" s="362"/>
      <c r="H180" s="362"/>
      <c r="I180" s="362"/>
      <c r="J180" s="611"/>
      <c r="K180" s="31"/>
      <c r="L180" s="31"/>
      <c r="M180" s="31"/>
      <c r="N180" s="31"/>
      <c r="O180" s="10"/>
      <c r="P180" s="278"/>
      <c r="S180" s="134"/>
    </row>
    <row r="181" spans="1:19" s="29" customFormat="1" ht="15.75" thickBot="1">
      <c r="A181" s="278"/>
      <c r="B181" s="24" t="s">
        <v>3</v>
      </c>
      <c r="C181" s="23"/>
      <c r="D181" s="362"/>
      <c r="E181" s="22"/>
      <c r="F181" s="22"/>
      <c r="G181" s="362"/>
      <c r="H181" s="362"/>
      <c r="I181" s="362"/>
      <c r="J181" s="611"/>
      <c r="K181" s="31"/>
      <c r="L181" s="31"/>
      <c r="M181" s="31"/>
      <c r="N181" s="31"/>
      <c r="O181" s="10"/>
      <c r="P181" s="278"/>
      <c r="R181" s="16" t="s">
        <v>263</v>
      </c>
      <c r="S181" s="134"/>
    </row>
    <row r="182" spans="1:19" s="29" customFormat="1" ht="13.5">
      <c r="A182" s="278"/>
      <c r="B182" s="568" t="s">
        <v>333</v>
      </c>
      <c r="C182" s="569">
        <v>30000</v>
      </c>
      <c r="D182" s="570">
        <v>16000</v>
      </c>
      <c r="E182" s="571">
        <f>C182</f>
        <v>30000</v>
      </c>
      <c r="F182" s="571">
        <v>30000</v>
      </c>
      <c r="G182" s="570">
        <v>30000</v>
      </c>
      <c r="H182" s="570"/>
      <c r="I182" s="570"/>
      <c r="J182" s="617">
        <v>30000</v>
      </c>
      <c r="K182" s="4"/>
      <c r="L182" s="4"/>
      <c r="M182" s="31"/>
      <c r="N182" s="31"/>
      <c r="O182" s="10"/>
      <c r="P182" s="376"/>
      <c r="R182" s="16">
        <f>J182</f>
        <v>30000</v>
      </c>
      <c r="S182" s="134"/>
    </row>
    <row r="183" spans="1:19" s="29" customFormat="1" ht="13.5">
      <c r="A183" s="278"/>
      <c r="B183" s="572" t="s">
        <v>334</v>
      </c>
      <c r="C183" s="573">
        <v>90000</v>
      </c>
      <c r="D183" s="565">
        <v>70399</v>
      </c>
      <c r="E183" s="566">
        <f>C183</f>
        <v>90000</v>
      </c>
      <c r="F183" s="566">
        <v>90000</v>
      </c>
      <c r="G183" s="565">
        <v>90000</v>
      </c>
      <c r="H183" s="565"/>
      <c r="I183" s="565"/>
      <c r="J183" s="608">
        <v>80000</v>
      </c>
      <c r="K183" s="4"/>
      <c r="L183" s="4"/>
      <c r="M183" s="31"/>
      <c r="N183" s="31"/>
      <c r="O183" s="10"/>
      <c r="P183" s="364"/>
      <c r="R183" s="16">
        <f>J183</f>
        <v>80000</v>
      </c>
      <c r="S183" s="134"/>
    </row>
    <row r="184" spans="1:19" s="29" customFormat="1" ht="13.5">
      <c r="A184" s="278"/>
      <c r="B184" s="572" t="s">
        <v>335</v>
      </c>
      <c r="C184" s="573">
        <v>260000</v>
      </c>
      <c r="D184" s="565">
        <v>110000</v>
      </c>
      <c r="E184" s="566">
        <f>C184</f>
        <v>260000</v>
      </c>
      <c r="F184" s="566">
        <v>260000</v>
      </c>
      <c r="G184" s="565">
        <v>200000</v>
      </c>
      <c r="H184" s="565"/>
      <c r="I184" s="565"/>
      <c r="J184" s="608">
        <v>180000</v>
      </c>
      <c r="K184" s="4"/>
      <c r="L184" s="4"/>
      <c r="M184" s="31"/>
      <c r="N184" s="31"/>
      <c r="O184" s="10"/>
      <c r="P184" s="364"/>
      <c r="R184" s="16">
        <f>J184</f>
        <v>180000</v>
      </c>
      <c r="S184" s="134"/>
    </row>
    <row r="185" spans="1:19" s="29" customFormat="1" ht="14.25" thickBot="1">
      <c r="A185" s="278"/>
      <c r="B185" s="495" t="s">
        <v>4</v>
      </c>
      <c r="C185" s="563">
        <v>758871</v>
      </c>
      <c r="D185" s="555">
        <v>735000</v>
      </c>
      <c r="E185" s="556">
        <v>761136</v>
      </c>
      <c r="F185" s="556">
        <v>761136</v>
      </c>
      <c r="G185" s="555">
        <v>889462</v>
      </c>
      <c r="H185" s="564"/>
      <c r="I185" s="556"/>
      <c r="J185" s="613">
        <v>938642</v>
      </c>
      <c r="K185" s="4"/>
      <c r="L185" s="4"/>
      <c r="M185" s="31"/>
      <c r="N185" s="31"/>
      <c r="O185" s="10"/>
      <c r="P185" s="377"/>
      <c r="R185" s="16"/>
      <c r="S185" s="134"/>
    </row>
    <row r="186" spans="1:19" s="29" customFormat="1" ht="14.25" thickBot="1">
      <c r="A186" s="278"/>
      <c r="B186" s="490" t="s">
        <v>5</v>
      </c>
      <c r="C186" s="173">
        <f>SUM(C182:C185)</f>
        <v>1138871</v>
      </c>
      <c r="D186" s="360">
        <f>SUM(D182:D185)</f>
        <v>931399</v>
      </c>
      <c r="E186" s="149">
        <f>SUM(E182:E185)</f>
        <v>1141136</v>
      </c>
      <c r="F186" s="149">
        <f>SUM(F182:F185)</f>
        <v>1141136</v>
      </c>
      <c r="G186" s="360">
        <f>SUM(G182:G185)</f>
        <v>1209462</v>
      </c>
      <c r="H186" s="360"/>
      <c r="I186" s="360">
        <f>SUM(I182:I185)</f>
        <v>0</v>
      </c>
      <c r="J186" s="360">
        <f>SUM(J182:J185)</f>
        <v>1228642</v>
      </c>
      <c r="K186" s="51"/>
      <c r="L186" s="85"/>
      <c r="M186" s="51"/>
      <c r="N186" s="51"/>
      <c r="O186" s="83"/>
      <c r="P186" s="278"/>
      <c r="R186" s="510">
        <f>SUM(R182:R185)</f>
        <v>290000</v>
      </c>
      <c r="S186" s="134"/>
    </row>
    <row r="187" spans="1:19" s="29" customFormat="1" ht="7.5" customHeight="1" thickBot="1">
      <c r="A187" s="278"/>
      <c r="B187" s="68"/>
      <c r="C187" s="68"/>
      <c r="D187" s="344"/>
      <c r="E187" s="68"/>
      <c r="F187" s="68"/>
      <c r="G187" s="344"/>
      <c r="H187" s="344"/>
      <c r="I187" s="344"/>
      <c r="J187" s="618"/>
      <c r="P187" s="278"/>
      <c r="S187" s="134"/>
    </row>
    <row r="188" spans="1:19" s="29" customFormat="1" ht="15" thickBot="1" thickTop="1">
      <c r="A188" s="278"/>
      <c r="B188" s="340" t="s">
        <v>224</v>
      </c>
      <c r="C188" s="341"/>
      <c r="D188" s="343">
        <f>D186-D179</f>
        <v>103605</v>
      </c>
      <c r="E188" s="343">
        <f>E186-E179</f>
        <v>0</v>
      </c>
      <c r="F188" s="343">
        <f>F186-F179</f>
        <v>158281</v>
      </c>
      <c r="G188" s="343">
        <f>G186-G179</f>
        <v>0</v>
      </c>
      <c r="H188" s="343"/>
      <c r="I188" s="343">
        <f>I186-I179</f>
        <v>0</v>
      </c>
      <c r="J188" s="610">
        <f>J186-J179</f>
        <v>0</v>
      </c>
      <c r="P188" s="278"/>
      <c r="S188" s="134"/>
    </row>
    <row r="189" spans="1:19" s="29" customFormat="1" ht="10.5" customHeight="1" thickBot="1" thickTop="1">
      <c r="A189" s="278"/>
      <c r="B189" s="68"/>
      <c r="C189" s="68"/>
      <c r="D189" s="68"/>
      <c r="E189" s="68"/>
      <c r="F189" s="68"/>
      <c r="G189" s="344"/>
      <c r="H189" s="344"/>
      <c r="I189" s="344"/>
      <c r="J189" s="618"/>
      <c r="P189" s="278"/>
      <c r="S189" s="134"/>
    </row>
    <row r="190" spans="1:19" s="29" customFormat="1" ht="15" thickBot="1" thickTop="1">
      <c r="A190" s="278"/>
      <c r="B190" s="340" t="s">
        <v>170</v>
      </c>
      <c r="C190" s="341"/>
      <c r="D190" s="343">
        <f aca="true" t="shared" si="4" ref="D190:J190">D188+D166+D132+D109</f>
        <v>233544</v>
      </c>
      <c r="E190" s="343">
        <f t="shared" si="4"/>
        <v>0</v>
      </c>
      <c r="F190" s="343">
        <f t="shared" si="4"/>
        <v>472042</v>
      </c>
      <c r="G190" s="343">
        <f t="shared" si="4"/>
        <v>0</v>
      </c>
      <c r="H190" s="343">
        <f t="shared" si="4"/>
        <v>0</v>
      </c>
      <c r="I190" s="343">
        <f t="shared" si="4"/>
        <v>0</v>
      </c>
      <c r="J190" s="610">
        <f t="shared" si="4"/>
        <v>0</v>
      </c>
      <c r="P190" s="278"/>
      <c r="Q190" s="366" t="s">
        <v>264</v>
      </c>
      <c r="R190" s="503">
        <f>R186+R164+R107</f>
        <v>2960000</v>
      </c>
      <c r="S190" s="134"/>
    </row>
    <row r="191" spans="1:19" s="29" customFormat="1" ht="14.25" thickBot="1" thickTop="1">
      <c r="A191" s="278"/>
      <c r="B191" s="68"/>
      <c r="C191" s="68"/>
      <c r="D191" s="68"/>
      <c r="E191" s="68"/>
      <c r="F191" s="68"/>
      <c r="G191" s="344"/>
      <c r="H191" s="344"/>
      <c r="I191" s="344"/>
      <c r="J191" s="618"/>
      <c r="P191" s="278"/>
      <c r="S191" s="134"/>
    </row>
    <row r="192" spans="1:19" s="29" customFormat="1" ht="12.75">
      <c r="A192" s="278"/>
      <c r="B192" s="25"/>
      <c r="C192" s="25"/>
      <c r="D192" s="25"/>
      <c r="E192" s="639" t="s">
        <v>304</v>
      </c>
      <c r="F192" s="639"/>
      <c r="G192" s="93" t="s">
        <v>299</v>
      </c>
      <c r="H192" s="618"/>
      <c r="I192" s="619" t="s">
        <v>213</v>
      </c>
      <c r="J192" s="619" t="s">
        <v>316</v>
      </c>
      <c r="K192" s="52"/>
      <c r="L192" s="52"/>
      <c r="M192" s="52"/>
      <c r="N192" s="52"/>
      <c r="O192" s="52"/>
      <c r="P192" s="52" t="s">
        <v>289</v>
      </c>
      <c r="S192" s="134"/>
    </row>
    <row r="193" spans="1:19" s="29" customFormat="1" ht="12.75">
      <c r="A193" s="278"/>
      <c r="B193" s="25" t="s">
        <v>214</v>
      </c>
      <c r="C193" s="25"/>
      <c r="D193" s="25"/>
      <c r="E193" s="57">
        <f>E185+E156+E129+E64</f>
        <v>9877604</v>
      </c>
      <c r="F193" s="57">
        <f>F185+F156+F129+F64</f>
        <v>9877604</v>
      </c>
      <c r="G193" s="57">
        <f>G185+G156+G129+G64</f>
        <v>10578123</v>
      </c>
      <c r="H193" s="618"/>
      <c r="I193" s="57">
        <f>I185+I156+I129+I64</f>
        <v>0</v>
      </c>
      <c r="J193" s="57">
        <f>J185+J156+J129+J64</f>
        <v>12784694</v>
      </c>
      <c r="K193" s="52"/>
      <c r="L193" s="52"/>
      <c r="M193" s="52"/>
      <c r="N193" s="52"/>
      <c r="O193" s="52"/>
      <c r="P193" s="640">
        <f>J193/G193</f>
        <v>1.2085975933537547</v>
      </c>
      <c r="S193" s="134"/>
    </row>
    <row r="194" spans="1:19" s="29" customFormat="1" ht="12.75">
      <c r="A194" s="278"/>
      <c r="B194" s="25" t="s">
        <v>336</v>
      </c>
      <c r="C194" s="25"/>
      <c r="D194" s="25"/>
      <c r="E194" s="57"/>
      <c r="F194" s="57"/>
      <c r="G194" s="57">
        <f>G184+G183+G182+G162+G161+G159+G158+G98+G97+G93+G92+G91+G89+G88+G87+G85+G82+G81+G80+G78+G76+G75+G74+G73+G71+G68+G65+G84</f>
        <v>2995000</v>
      </c>
      <c r="H194" s="618"/>
      <c r="I194" s="57"/>
      <c r="J194" s="618">
        <v>2960000</v>
      </c>
      <c r="K194" s="52"/>
      <c r="L194" s="52"/>
      <c r="M194" s="52"/>
      <c r="N194" s="52"/>
      <c r="O194" s="52"/>
      <c r="P194" s="640">
        <f>J194/G194</f>
        <v>0.988313856427379</v>
      </c>
      <c r="S194" s="134"/>
    </row>
    <row r="195" spans="1:19" s="29" customFormat="1" ht="12.75">
      <c r="A195" s="278"/>
      <c r="B195" s="25"/>
      <c r="C195" s="25"/>
      <c r="D195" s="25"/>
      <c r="E195" s="25"/>
      <c r="F195" s="25"/>
      <c r="G195" s="57">
        <f>SUM(G193:G194)</f>
        <v>13573123</v>
      </c>
      <c r="H195" s="618"/>
      <c r="I195" s="618"/>
      <c r="J195" s="618">
        <f>SUM(J193:J194)</f>
        <v>15744694</v>
      </c>
      <c r="K195" s="52"/>
      <c r="L195" s="52"/>
      <c r="M195" s="52"/>
      <c r="N195" s="52"/>
      <c r="O195" s="52"/>
      <c r="P195" s="640">
        <f>J195/G195</f>
        <v>1.1599905194994549</v>
      </c>
      <c r="S195" s="134"/>
    </row>
    <row r="196" spans="2:21" ht="12.75">
      <c r="B196" s="6" t="s">
        <v>215</v>
      </c>
      <c r="C196" s="6"/>
      <c r="D196" s="6"/>
      <c r="E196" s="7">
        <f>E175+E149+E122+E15</f>
        <v>5698869</v>
      </c>
      <c r="F196" s="7">
        <f>F175+F149+F122+F15</f>
        <v>5516606</v>
      </c>
      <c r="G196" s="7">
        <f>G175+G149+G122+G15</f>
        <v>6701795</v>
      </c>
      <c r="H196" s="611"/>
      <c r="I196" s="7">
        <f>I175+I149+I122+I15</f>
        <v>0</v>
      </c>
      <c r="J196" s="7">
        <f>J175+J149+J122+J15</f>
        <v>7518643</v>
      </c>
      <c r="K196" s="11"/>
      <c r="L196" s="11"/>
      <c r="M196" s="11"/>
      <c r="N196" s="11"/>
      <c r="O196" s="11"/>
      <c r="P196" s="640">
        <f>J196/G196</f>
        <v>1.1218849576867094</v>
      </c>
      <c r="T196" s="29"/>
      <c r="U196" s="29"/>
    </row>
    <row r="197" spans="2:21" ht="12.75">
      <c r="B197" s="11"/>
      <c r="C197" s="11"/>
      <c r="D197" s="11"/>
      <c r="E197" s="11"/>
      <c r="F197" s="11"/>
      <c r="G197" s="641"/>
      <c r="H197" s="641"/>
      <c r="I197" s="641"/>
      <c r="K197" s="11"/>
      <c r="L197" s="11"/>
      <c r="M197" s="11"/>
      <c r="N197" s="11"/>
      <c r="O197" s="11"/>
      <c r="P197" s="11"/>
      <c r="T197" s="29"/>
      <c r="U197" s="29"/>
    </row>
    <row r="198" spans="2:21" ht="12.75">
      <c r="B198" s="68"/>
      <c r="T198" s="29"/>
      <c r="U198" s="29"/>
    </row>
    <row r="199" ht="12.75">
      <c r="B199" s="68"/>
    </row>
    <row r="200" ht="12.75">
      <c r="B200" s="63"/>
    </row>
  </sheetData>
  <sheetProtection/>
  <mergeCells count="5">
    <mergeCell ref="B1:O1"/>
    <mergeCell ref="B2:O2"/>
    <mergeCell ref="B111:L111"/>
    <mergeCell ref="B134:O134"/>
    <mergeCell ref="B168:O168"/>
  </mergeCells>
  <printOptions/>
  <pageMargins left="0.7" right="0.7" top="0.787401575" bottom="0.787401575" header="0.3" footer="0.3"/>
  <pageSetup horizontalDpi="600" verticalDpi="600" orientation="portrait" paperSize="9" scale="48" r:id="rId1"/>
  <rowBreaks count="1" manualBreakCount="1"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00"/>
  <sheetViews>
    <sheetView zoomScalePageLayoutView="0" workbookViewId="0" topLeftCell="A160">
      <selection activeCell="A169" sqref="A1:IV16384"/>
    </sheetView>
  </sheetViews>
  <sheetFormatPr defaultColWidth="9.00390625" defaultRowHeight="12.75"/>
  <cols>
    <col min="1" max="1" width="4.375" style="124" customWidth="1"/>
    <col min="2" max="2" width="44.00390625" style="0" customWidth="1"/>
    <col min="3" max="4" width="12.875" style="0" customWidth="1"/>
    <col min="5" max="6" width="12.125" style="0" customWidth="1"/>
    <col min="7" max="7" width="12.00390625" style="382" customWidth="1"/>
    <col min="8" max="8" width="12.00390625" style="382" hidden="1" customWidth="1"/>
    <col min="9" max="9" width="13.00390625" style="382" hidden="1" customWidth="1"/>
    <col min="10" max="10" width="15.00390625" style="611" customWidth="1"/>
    <col min="11" max="11" width="8.50390625" style="0" hidden="1" customWidth="1"/>
    <col min="12" max="15" width="9.125" style="0" hidden="1" customWidth="1"/>
    <col min="16" max="16" width="28.375" style="124" customWidth="1"/>
    <col min="17" max="17" width="9.50390625" style="0" customWidth="1"/>
    <col min="18" max="18" width="10.875" style="0" customWidth="1"/>
    <col min="19" max="19" width="9.125" style="500" customWidth="1"/>
  </cols>
  <sheetData>
    <row r="1" spans="2:15" ht="20.25">
      <c r="B1" s="872" t="s">
        <v>301</v>
      </c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</row>
    <row r="2" spans="2:18" ht="20.25">
      <c r="B2" s="873" t="s">
        <v>6</v>
      </c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R2" t="s">
        <v>173</v>
      </c>
    </row>
    <row r="3" spans="1:19" s="10" customFormat="1" ht="5.25" customHeight="1">
      <c r="A3" s="347"/>
      <c r="B3" s="8"/>
      <c r="C3" s="9"/>
      <c r="D3" s="9"/>
      <c r="E3" s="9"/>
      <c r="F3" s="9"/>
      <c r="G3" s="348"/>
      <c r="H3" s="348"/>
      <c r="I3" s="348"/>
      <c r="J3" s="597"/>
      <c r="K3" s="9"/>
      <c r="L3" s="36"/>
      <c r="M3" s="1"/>
      <c r="N3" s="1"/>
      <c r="O3" s="41"/>
      <c r="P3" s="347"/>
      <c r="S3" s="513"/>
    </row>
    <row r="4" spans="1:23" s="10" customFormat="1" ht="11.25" customHeight="1" thickBot="1">
      <c r="A4" s="347"/>
      <c r="B4" s="8"/>
      <c r="C4" s="9"/>
      <c r="D4" s="9"/>
      <c r="E4" s="9"/>
      <c r="F4" s="9"/>
      <c r="G4" s="348"/>
      <c r="H4" s="348"/>
      <c r="I4" s="348"/>
      <c r="J4" s="597"/>
      <c r="K4" s="9"/>
      <c r="L4" s="36"/>
      <c r="M4" s="1"/>
      <c r="N4" s="1"/>
      <c r="O4" s="41"/>
      <c r="P4" s="347"/>
      <c r="Q4" s="131"/>
      <c r="R4" s="131"/>
      <c r="S4" s="502"/>
      <c r="T4" s="29"/>
      <c r="U4" s="29"/>
      <c r="V4" s="29"/>
      <c r="W4" s="29"/>
    </row>
    <row r="5" spans="2:23" ht="15">
      <c r="B5" s="89" t="s">
        <v>7</v>
      </c>
      <c r="C5" s="93" t="s">
        <v>299</v>
      </c>
      <c r="D5" s="350" t="s">
        <v>137</v>
      </c>
      <c r="E5" s="93" t="s">
        <v>299</v>
      </c>
      <c r="F5" s="350" t="s">
        <v>137</v>
      </c>
      <c r="G5" s="93" t="s">
        <v>299</v>
      </c>
      <c r="H5" s="350" t="s">
        <v>338</v>
      </c>
      <c r="I5" s="383" t="s">
        <v>302</v>
      </c>
      <c r="J5" s="386" t="s">
        <v>165</v>
      </c>
      <c r="K5" s="181"/>
      <c r="L5" s="415"/>
      <c r="M5" s="416"/>
      <c r="N5" s="416"/>
      <c r="O5" s="417"/>
      <c r="P5" s="351" t="s">
        <v>136</v>
      </c>
      <c r="Q5" s="131"/>
      <c r="R5" s="25"/>
      <c r="S5" s="57"/>
      <c r="T5" s="29"/>
      <c r="U5" s="29"/>
      <c r="V5" s="29"/>
      <c r="W5" s="29"/>
    </row>
    <row r="6" spans="2:23" ht="15.75" thickBot="1">
      <c r="B6" s="369"/>
      <c r="C6" s="539">
        <v>2015</v>
      </c>
      <c r="D6" s="353">
        <v>2015</v>
      </c>
      <c r="E6" s="540">
        <v>2016</v>
      </c>
      <c r="F6" s="540">
        <v>2016</v>
      </c>
      <c r="G6" s="353">
        <v>2017</v>
      </c>
      <c r="H6" s="418" t="s">
        <v>339</v>
      </c>
      <c r="I6" s="418" t="s">
        <v>303</v>
      </c>
      <c r="J6" s="395" t="s">
        <v>300</v>
      </c>
      <c r="K6" s="182"/>
      <c r="L6" s="419"/>
      <c r="M6" s="420"/>
      <c r="N6" s="420"/>
      <c r="O6" s="421"/>
      <c r="P6" s="355"/>
      <c r="Q6" s="29"/>
      <c r="R6" s="29"/>
      <c r="S6" s="134"/>
      <c r="T6" s="29"/>
      <c r="U6" s="29"/>
      <c r="V6" s="29"/>
      <c r="W6" s="29"/>
    </row>
    <row r="7" spans="1:23" s="2" customFormat="1" ht="12.75" customHeight="1">
      <c r="A7" s="124"/>
      <c r="B7" s="532" t="s">
        <v>307</v>
      </c>
      <c r="C7" s="426">
        <v>1200000</v>
      </c>
      <c r="D7" s="411">
        <v>180273</v>
      </c>
      <c r="E7" s="410">
        <v>203000</v>
      </c>
      <c r="F7" s="410">
        <v>182957</v>
      </c>
      <c r="G7" s="411">
        <v>200000</v>
      </c>
      <c r="H7" s="411"/>
      <c r="I7" s="411"/>
      <c r="J7" s="601">
        <v>210000</v>
      </c>
      <c r="K7" s="4"/>
      <c r="L7" s="26"/>
      <c r="M7" s="65"/>
      <c r="N7" s="65"/>
      <c r="O7" s="69"/>
      <c r="P7" s="633">
        <v>0.05</v>
      </c>
      <c r="Q7" s="57"/>
      <c r="R7" s="57"/>
      <c r="S7" s="57"/>
      <c r="T7" s="70"/>
      <c r="U7" s="70"/>
      <c r="V7" s="70"/>
      <c r="W7" s="70"/>
    </row>
    <row r="8" spans="1:23" s="2" customFormat="1" ht="12.75" customHeight="1">
      <c r="A8" s="124"/>
      <c r="B8" s="533" t="s">
        <v>305</v>
      </c>
      <c r="C8" s="427"/>
      <c r="D8" s="398">
        <v>108606</v>
      </c>
      <c r="E8" s="397">
        <v>77000</v>
      </c>
      <c r="F8" s="397">
        <v>70712</v>
      </c>
      <c r="G8" s="398">
        <v>90000</v>
      </c>
      <c r="H8" s="398"/>
      <c r="I8" s="398"/>
      <c r="J8" s="630">
        <f>G8*1.05</f>
        <v>94500</v>
      </c>
      <c r="K8" s="4"/>
      <c r="L8" s="26"/>
      <c r="M8" s="65"/>
      <c r="N8" s="65"/>
      <c r="O8" s="69"/>
      <c r="P8" s="634">
        <v>0.05</v>
      </c>
      <c r="Q8" s="57"/>
      <c r="R8" s="57"/>
      <c r="S8" s="57"/>
      <c r="T8" s="70"/>
      <c r="U8" s="70"/>
      <c r="V8" s="70"/>
      <c r="W8" s="70"/>
    </row>
    <row r="9" spans="1:23" s="2" customFormat="1" ht="12.75" customHeight="1">
      <c r="A9" s="124"/>
      <c r="B9" s="533" t="s">
        <v>306</v>
      </c>
      <c r="C9" s="428"/>
      <c r="D9" s="423">
        <v>850526</v>
      </c>
      <c r="E9" s="422">
        <v>920000</v>
      </c>
      <c r="F9" s="422">
        <v>958122</v>
      </c>
      <c r="G9" s="423">
        <v>1000000</v>
      </c>
      <c r="H9" s="423"/>
      <c r="I9" s="423"/>
      <c r="J9" s="631">
        <v>1100000</v>
      </c>
      <c r="K9" s="4"/>
      <c r="L9" s="26"/>
      <c r="M9" s="65"/>
      <c r="N9" s="65"/>
      <c r="O9" s="69"/>
      <c r="P9" s="358">
        <v>0.1</v>
      </c>
      <c r="Q9" s="57"/>
      <c r="R9" s="57"/>
      <c r="S9" s="57"/>
      <c r="T9" s="70"/>
      <c r="U9" s="70"/>
      <c r="V9" s="70"/>
      <c r="W9" s="70"/>
    </row>
    <row r="10" spans="1:23" s="2" customFormat="1" ht="12.75" customHeight="1">
      <c r="A10" s="124"/>
      <c r="B10" s="534" t="s">
        <v>1</v>
      </c>
      <c r="C10" s="426">
        <v>50000</v>
      </c>
      <c r="D10" s="411">
        <v>7811</v>
      </c>
      <c r="E10" s="410">
        <f>C10</f>
        <v>50000</v>
      </c>
      <c r="F10" s="410">
        <v>12631</v>
      </c>
      <c r="G10" s="411">
        <v>50000</v>
      </c>
      <c r="H10" s="411"/>
      <c r="I10" s="412"/>
      <c r="J10" s="601">
        <v>50000</v>
      </c>
      <c r="K10" s="4"/>
      <c r="L10" s="26"/>
      <c r="M10" s="65"/>
      <c r="N10" s="65"/>
      <c r="O10" s="69"/>
      <c r="P10" s="357"/>
      <c r="Q10" s="57"/>
      <c r="R10" s="57"/>
      <c r="S10" s="57"/>
      <c r="T10" s="70"/>
      <c r="U10" s="70"/>
      <c r="V10" s="70"/>
      <c r="W10" s="70"/>
    </row>
    <row r="11" spans="1:23" s="2" customFormat="1" ht="12.75" customHeight="1">
      <c r="A11" s="124"/>
      <c r="B11" s="527" t="s">
        <v>8</v>
      </c>
      <c r="C11" s="427">
        <v>395000</v>
      </c>
      <c r="D11" s="398">
        <v>357616</v>
      </c>
      <c r="E11" s="397">
        <f>C11</f>
        <v>395000</v>
      </c>
      <c r="F11" s="397">
        <v>443970</v>
      </c>
      <c r="G11" s="398">
        <v>403000</v>
      </c>
      <c r="H11" s="398"/>
      <c r="I11" s="399"/>
      <c r="J11" s="602">
        <v>410000</v>
      </c>
      <c r="K11" s="4"/>
      <c r="L11" s="26"/>
      <c r="M11" s="65"/>
      <c r="N11" s="65"/>
      <c r="O11" s="69"/>
      <c r="P11" s="357"/>
      <c r="Q11" s="57"/>
      <c r="R11" s="57"/>
      <c r="S11" s="57"/>
      <c r="T11" s="70"/>
      <c r="U11" s="70"/>
      <c r="V11" s="70"/>
      <c r="W11" s="70"/>
    </row>
    <row r="12" spans="1:23" s="2" customFormat="1" ht="12.75" customHeight="1">
      <c r="A12" s="124"/>
      <c r="B12" s="527" t="s">
        <v>18</v>
      </c>
      <c r="C12" s="427">
        <v>3300000</v>
      </c>
      <c r="D12" s="398">
        <f>3456317-D22</f>
        <v>3419317</v>
      </c>
      <c r="E12" s="397">
        <v>3074132</v>
      </c>
      <c r="F12" s="397">
        <v>2755358</v>
      </c>
      <c r="G12" s="398">
        <v>1870000</v>
      </c>
      <c r="H12" s="398"/>
      <c r="I12" s="399"/>
      <c r="J12" s="602">
        <v>1907000</v>
      </c>
      <c r="K12" s="4"/>
      <c r="L12" s="26"/>
      <c r="M12" s="65"/>
      <c r="N12" s="65"/>
      <c r="O12" s="69"/>
      <c r="P12" s="357" t="s">
        <v>347</v>
      </c>
      <c r="Q12" s="57"/>
      <c r="R12" s="57"/>
      <c r="S12" s="57"/>
      <c r="T12" s="70"/>
      <c r="U12" s="70"/>
      <c r="V12" s="70"/>
      <c r="W12" s="70"/>
    </row>
    <row r="13" spans="1:23" s="2" customFormat="1" ht="12.75" customHeight="1">
      <c r="A13" s="124"/>
      <c r="B13" s="527" t="s">
        <v>9</v>
      </c>
      <c r="C13" s="427">
        <v>230000</v>
      </c>
      <c r="D13" s="398">
        <v>318</v>
      </c>
      <c r="E13" s="397">
        <f>C13</f>
        <v>230000</v>
      </c>
      <c r="F13" s="397">
        <v>383291</v>
      </c>
      <c r="G13" s="398">
        <v>1040000</v>
      </c>
      <c r="H13" s="398"/>
      <c r="I13" s="399"/>
      <c r="J13" s="602">
        <v>1190000</v>
      </c>
      <c r="K13" s="4"/>
      <c r="L13" s="26"/>
      <c r="M13" s="65"/>
      <c r="N13" s="65"/>
      <c r="O13" s="69"/>
      <c r="P13" s="357" t="s">
        <v>346</v>
      </c>
      <c r="Q13" s="57"/>
      <c r="R13" s="57"/>
      <c r="S13" s="57"/>
      <c r="T13" s="70"/>
      <c r="U13" s="70"/>
      <c r="V13" s="70"/>
      <c r="W13" s="70"/>
    </row>
    <row r="14" spans="1:23" s="2" customFormat="1" ht="12.75" customHeight="1">
      <c r="A14" s="124"/>
      <c r="B14" s="636" t="s">
        <v>345</v>
      </c>
      <c r="C14" s="635"/>
      <c r="D14" s="403"/>
      <c r="E14" s="402"/>
      <c r="F14" s="402"/>
      <c r="G14" s="403"/>
      <c r="H14" s="403"/>
      <c r="I14" s="637"/>
      <c r="J14" s="638">
        <v>900000</v>
      </c>
      <c r="K14" s="4"/>
      <c r="L14" s="26"/>
      <c r="M14" s="65"/>
      <c r="N14" s="65"/>
      <c r="O14" s="69"/>
      <c r="P14" s="357" t="s">
        <v>348</v>
      </c>
      <c r="Q14" s="57"/>
      <c r="R14" s="57"/>
      <c r="S14" s="57"/>
      <c r="T14" s="70"/>
      <c r="U14" s="70"/>
      <c r="V14" s="70"/>
      <c r="W14" s="70"/>
    </row>
    <row r="15" spans="1:23" s="2" customFormat="1" ht="12.75" customHeight="1">
      <c r="A15" s="124"/>
      <c r="B15" s="545" t="s">
        <v>10</v>
      </c>
      <c r="C15" s="546">
        <v>3950254</v>
      </c>
      <c r="D15" s="547">
        <v>3339761</v>
      </c>
      <c r="E15" s="548">
        <v>4010430</v>
      </c>
      <c r="F15" s="548">
        <v>3952290</v>
      </c>
      <c r="G15" s="547">
        <f>4517481</f>
        <v>4517481</v>
      </c>
      <c r="H15" s="547"/>
      <c r="I15" s="547"/>
      <c r="J15" s="632">
        <v>5025161</v>
      </c>
      <c r="K15" s="4"/>
      <c r="L15" s="26"/>
      <c r="M15" s="81"/>
      <c r="N15" s="81"/>
      <c r="O15" s="69"/>
      <c r="P15" s="357" t="s">
        <v>352</v>
      </c>
      <c r="Q15" s="124" t="s">
        <v>174</v>
      </c>
      <c r="R15" s="57"/>
      <c r="S15" s="514" t="s">
        <v>291</v>
      </c>
      <c r="T15" s="70"/>
      <c r="U15" s="70"/>
      <c r="V15" s="70"/>
      <c r="W15" s="70"/>
    </row>
    <row r="16" spans="1:23" s="2" customFormat="1" ht="12.75" customHeight="1">
      <c r="A16" s="124">
        <v>1601</v>
      </c>
      <c r="B16" s="518" t="s">
        <v>349</v>
      </c>
      <c r="C16" s="427">
        <v>950000</v>
      </c>
      <c r="D16" s="398">
        <v>1299917</v>
      </c>
      <c r="E16" s="404">
        <f>C16</f>
        <v>950000</v>
      </c>
      <c r="F16" s="404">
        <v>895685</v>
      </c>
      <c r="G16" s="398">
        <v>1004000</v>
      </c>
      <c r="H16" s="398"/>
      <c r="I16" s="398"/>
      <c r="J16" s="602">
        <f>1374500-50000-160000</f>
        <v>1164500</v>
      </c>
      <c r="K16" s="4"/>
      <c r="L16" s="53"/>
      <c r="M16" s="65"/>
      <c r="N16" s="65"/>
      <c r="O16" s="69"/>
      <c r="P16" s="357" t="s">
        <v>231</v>
      </c>
      <c r="Q16" s="57">
        <f>J16</f>
        <v>1164500</v>
      </c>
      <c r="R16" s="348"/>
      <c r="S16" s="57">
        <v>0</v>
      </c>
      <c r="T16" s="70"/>
      <c r="U16" s="70"/>
      <c r="V16" s="70"/>
      <c r="W16" s="70"/>
    </row>
    <row r="17" spans="1:23" s="2" customFormat="1" ht="12.75" customHeight="1">
      <c r="A17" s="124"/>
      <c r="B17" s="535" t="s">
        <v>310</v>
      </c>
      <c r="C17" s="429"/>
      <c r="D17" s="406"/>
      <c r="E17" s="405">
        <v>130000</v>
      </c>
      <c r="F17" s="405">
        <v>130000</v>
      </c>
      <c r="G17" s="406"/>
      <c r="H17" s="406"/>
      <c r="I17" s="406"/>
      <c r="J17" s="602"/>
      <c r="K17" s="4"/>
      <c r="L17" s="53"/>
      <c r="M17" s="65"/>
      <c r="N17" s="65"/>
      <c r="O17" s="69"/>
      <c r="P17" s="357"/>
      <c r="Q17" s="57"/>
      <c r="R17" s="348"/>
      <c r="S17" s="57"/>
      <c r="T17" s="70"/>
      <c r="U17" s="70"/>
      <c r="V17" s="70"/>
      <c r="W17" s="70"/>
    </row>
    <row r="18" spans="1:23" s="2" customFormat="1" ht="12.75" customHeight="1">
      <c r="A18" s="124"/>
      <c r="B18" s="535" t="s">
        <v>309</v>
      </c>
      <c r="C18" s="429"/>
      <c r="D18" s="406"/>
      <c r="E18" s="405">
        <v>30000</v>
      </c>
      <c r="F18" s="405">
        <v>30000</v>
      </c>
      <c r="G18" s="406">
        <v>50000</v>
      </c>
      <c r="H18" s="406"/>
      <c r="I18" s="406"/>
      <c r="J18" s="602"/>
      <c r="K18" s="4"/>
      <c r="L18" s="53"/>
      <c r="M18" s="65"/>
      <c r="N18" s="65"/>
      <c r="O18" s="69"/>
      <c r="P18" s="357"/>
      <c r="Q18" s="57"/>
      <c r="R18" s="348"/>
      <c r="S18" s="57"/>
      <c r="T18" s="70"/>
      <c r="U18" s="70"/>
      <c r="V18" s="70"/>
      <c r="W18" s="70"/>
    </row>
    <row r="19" spans="1:23" s="2" customFormat="1" ht="12.75" customHeight="1">
      <c r="A19" s="124"/>
      <c r="B19" s="535" t="s">
        <v>337</v>
      </c>
      <c r="C19" s="429"/>
      <c r="D19" s="406"/>
      <c r="E19" s="405"/>
      <c r="F19" s="405"/>
      <c r="G19" s="406">
        <v>50000</v>
      </c>
      <c r="H19" s="406"/>
      <c r="I19" s="406"/>
      <c r="J19" s="602">
        <v>50000</v>
      </c>
      <c r="K19" s="4"/>
      <c r="L19" s="53"/>
      <c r="M19" s="65"/>
      <c r="N19" s="65"/>
      <c r="O19" s="69"/>
      <c r="P19" s="357" t="s">
        <v>232</v>
      </c>
      <c r="Q19" s="57">
        <f>J19</f>
        <v>50000</v>
      </c>
      <c r="R19" s="348"/>
      <c r="S19" s="57"/>
      <c r="T19" s="70"/>
      <c r="U19" s="70"/>
      <c r="V19" s="70"/>
      <c r="W19" s="70"/>
    </row>
    <row r="20" spans="1:23" s="2" customFormat="1" ht="12.75" customHeight="1">
      <c r="A20" s="124">
        <v>1902</v>
      </c>
      <c r="B20" s="518" t="s">
        <v>139</v>
      </c>
      <c r="C20" s="427">
        <v>100000</v>
      </c>
      <c r="D20" s="398">
        <v>2815</v>
      </c>
      <c r="E20" s="404">
        <f>C20</f>
        <v>100000</v>
      </c>
      <c r="F20" s="404">
        <v>36664</v>
      </c>
      <c r="G20" s="398">
        <v>50000</v>
      </c>
      <c r="H20" s="398"/>
      <c r="I20" s="398"/>
      <c r="J20" s="602">
        <v>50000</v>
      </c>
      <c r="K20" s="4"/>
      <c r="L20" s="53"/>
      <c r="M20" s="65"/>
      <c r="N20" s="65"/>
      <c r="O20" s="69"/>
      <c r="P20" s="357" t="s">
        <v>350</v>
      </c>
      <c r="Q20" s="57"/>
      <c r="R20" s="348"/>
      <c r="S20" s="57"/>
      <c r="T20" s="70"/>
      <c r="U20" s="70"/>
      <c r="V20" s="70"/>
      <c r="W20" s="70"/>
    </row>
    <row r="21" spans="1:23" s="2" customFormat="1" ht="12.75" customHeight="1">
      <c r="A21" s="124">
        <v>1306</v>
      </c>
      <c r="B21" s="518" t="s">
        <v>69</v>
      </c>
      <c r="C21" s="430">
        <v>30000</v>
      </c>
      <c r="D21" s="398">
        <v>40346</v>
      </c>
      <c r="E21" s="404">
        <f>C21</f>
        <v>30000</v>
      </c>
      <c r="F21" s="404">
        <v>45600</v>
      </c>
      <c r="G21" s="398">
        <v>42000</v>
      </c>
      <c r="H21" s="398"/>
      <c r="I21" s="398"/>
      <c r="J21" s="602">
        <v>50000</v>
      </c>
      <c r="K21" s="4"/>
      <c r="L21" s="53"/>
      <c r="M21" s="65"/>
      <c r="N21" s="65"/>
      <c r="O21" s="69"/>
      <c r="P21" s="357" t="s">
        <v>233</v>
      </c>
      <c r="Q21" s="57">
        <f>J21</f>
        <v>50000</v>
      </c>
      <c r="R21" s="348"/>
      <c r="S21" s="57">
        <v>20000</v>
      </c>
      <c r="T21" s="70"/>
      <c r="U21" s="70"/>
      <c r="V21" s="70"/>
      <c r="W21" s="70"/>
    </row>
    <row r="22" spans="1:23" s="2" customFormat="1" ht="12.75" customHeight="1">
      <c r="A22" s="124">
        <v>1317</v>
      </c>
      <c r="B22" s="518" t="s">
        <v>176</v>
      </c>
      <c r="C22" s="430"/>
      <c r="D22" s="398">
        <v>37000</v>
      </c>
      <c r="E22" s="404"/>
      <c r="F22" s="404"/>
      <c r="G22" s="398"/>
      <c r="H22" s="398"/>
      <c r="I22" s="398"/>
      <c r="J22" s="602"/>
      <c r="K22" s="4"/>
      <c r="L22" s="53"/>
      <c r="M22" s="65"/>
      <c r="N22" s="65"/>
      <c r="O22" s="69"/>
      <c r="P22" s="357"/>
      <c r="Q22" s="57"/>
      <c r="R22" s="348"/>
      <c r="S22" s="57"/>
      <c r="T22" s="70"/>
      <c r="U22" s="70"/>
      <c r="V22" s="70"/>
      <c r="W22" s="70"/>
    </row>
    <row r="23" spans="1:23" s="2" customFormat="1" ht="12.75" customHeight="1">
      <c r="A23" s="124">
        <v>1313</v>
      </c>
      <c r="B23" s="518" t="s">
        <v>24</v>
      </c>
      <c r="C23" s="430">
        <v>40000</v>
      </c>
      <c r="D23" s="398">
        <v>37752</v>
      </c>
      <c r="E23" s="404">
        <f>C23</f>
        <v>40000</v>
      </c>
      <c r="F23" s="404">
        <v>33632</v>
      </c>
      <c r="G23" s="398">
        <v>60000</v>
      </c>
      <c r="H23" s="398"/>
      <c r="I23" s="398"/>
      <c r="J23" s="602">
        <f>60000-30000</f>
        <v>30000</v>
      </c>
      <c r="K23" s="4"/>
      <c r="L23" s="53"/>
      <c r="M23" s="65"/>
      <c r="N23" s="65"/>
      <c r="O23" s="69"/>
      <c r="P23" s="357" t="s">
        <v>340</v>
      </c>
      <c r="Q23" s="57">
        <f aca="true" t="shared" si="0" ref="Q23:Q29">J23</f>
        <v>30000</v>
      </c>
      <c r="R23" s="348"/>
      <c r="S23" s="57"/>
      <c r="T23" s="70"/>
      <c r="U23" s="70"/>
      <c r="V23" s="70"/>
      <c r="W23" s="70"/>
    </row>
    <row r="24" spans="1:23" s="2" customFormat="1" ht="12.75" customHeight="1">
      <c r="A24" s="124">
        <v>1318</v>
      </c>
      <c r="B24" s="518" t="s">
        <v>25</v>
      </c>
      <c r="C24" s="430">
        <v>40000</v>
      </c>
      <c r="D24" s="398">
        <v>28894</v>
      </c>
      <c r="E24" s="404">
        <v>15265</v>
      </c>
      <c r="F24" s="404">
        <v>15801</v>
      </c>
      <c r="G24" s="398">
        <v>40000</v>
      </c>
      <c r="H24" s="398"/>
      <c r="I24" s="398"/>
      <c r="J24" s="602">
        <v>19000</v>
      </c>
      <c r="K24" s="4"/>
      <c r="L24" s="53"/>
      <c r="M24" s="65"/>
      <c r="N24" s="65"/>
      <c r="O24" s="69"/>
      <c r="P24" s="357" t="s">
        <v>236</v>
      </c>
      <c r="Q24" s="57">
        <f t="shared" si="0"/>
        <v>19000</v>
      </c>
      <c r="R24" s="348"/>
      <c r="S24" s="57">
        <v>16000</v>
      </c>
      <c r="T24" s="70"/>
      <c r="U24" s="70"/>
      <c r="V24" s="70"/>
      <c r="W24" s="70"/>
    </row>
    <row r="25" spans="1:23" s="2" customFormat="1" ht="12.75" customHeight="1">
      <c r="A25" s="124">
        <v>1311</v>
      </c>
      <c r="B25" s="518" t="s">
        <v>26</v>
      </c>
      <c r="C25" s="430">
        <v>120000</v>
      </c>
      <c r="D25" s="398">
        <v>135729</v>
      </c>
      <c r="E25" s="404">
        <v>127328</v>
      </c>
      <c r="F25" s="404">
        <v>117696</v>
      </c>
      <c r="G25" s="398">
        <v>130000</v>
      </c>
      <c r="H25" s="398"/>
      <c r="I25" s="398"/>
      <c r="J25" s="602">
        <v>130000</v>
      </c>
      <c r="K25" s="4"/>
      <c r="L25" s="53"/>
      <c r="M25" s="65"/>
      <c r="N25" s="65"/>
      <c r="O25" s="69"/>
      <c r="P25" s="357" t="s">
        <v>141</v>
      </c>
      <c r="Q25" s="57">
        <f t="shared" si="0"/>
        <v>130000</v>
      </c>
      <c r="R25" s="348"/>
      <c r="S25" s="57"/>
      <c r="T25" s="70"/>
      <c r="U25" s="70"/>
      <c r="V25" s="70"/>
      <c r="W25" s="70"/>
    </row>
    <row r="26" spans="1:23" s="2" customFormat="1" ht="12.75" customHeight="1">
      <c r="A26" s="124">
        <v>1500</v>
      </c>
      <c r="B26" s="518" t="s">
        <v>20</v>
      </c>
      <c r="C26" s="430">
        <v>402930</v>
      </c>
      <c r="D26" s="398">
        <v>452092</v>
      </c>
      <c r="E26" s="404">
        <v>510154</v>
      </c>
      <c r="F26" s="404">
        <v>628230</v>
      </c>
      <c r="G26" s="398"/>
      <c r="H26" s="398"/>
      <c r="I26" s="398"/>
      <c r="J26" s="602"/>
      <c r="K26" s="4"/>
      <c r="L26" s="53"/>
      <c r="M26" s="65"/>
      <c r="N26" s="65"/>
      <c r="O26" s="69"/>
      <c r="P26" s="357"/>
      <c r="Q26" s="57">
        <f t="shared" si="0"/>
        <v>0</v>
      </c>
      <c r="R26" s="348"/>
      <c r="S26" s="57"/>
      <c r="T26" s="70"/>
      <c r="U26" s="70"/>
      <c r="V26" s="70"/>
      <c r="W26" s="70"/>
    </row>
    <row r="27" spans="1:23" s="2" customFormat="1" ht="12.75" customHeight="1">
      <c r="A27" s="124">
        <v>1323</v>
      </c>
      <c r="B27" s="518" t="s">
        <v>40</v>
      </c>
      <c r="C27" s="430">
        <v>50000</v>
      </c>
      <c r="D27" s="398">
        <v>26825</v>
      </c>
      <c r="E27" s="404">
        <v>15397</v>
      </c>
      <c r="F27" s="404">
        <v>15397</v>
      </c>
      <c r="G27" s="398">
        <v>30000</v>
      </c>
      <c r="H27" s="398"/>
      <c r="I27" s="398"/>
      <c r="J27" s="602">
        <v>32000</v>
      </c>
      <c r="K27" s="4"/>
      <c r="L27" s="53"/>
      <c r="M27" s="65"/>
      <c r="N27" s="65"/>
      <c r="O27" s="69"/>
      <c r="P27" s="357" t="s">
        <v>238</v>
      </c>
      <c r="Q27" s="57">
        <f t="shared" si="0"/>
        <v>32000</v>
      </c>
      <c r="R27" s="348"/>
      <c r="S27" s="57">
        <v>12000</v>
      </c>
      <c r="T27" s="70"/>
      <c r="U27" s="70"/>
      <c r="V27" s="70"/>
      <c r="W27" s="70"/>
    </row>
    <row r="28" spans="1:23" s="2" customFormat="1" ht="12.75" customHeight="1">
      <c r="A28" s="124">
        <v>1324</v>
      </c>
      <c r="B28" s="518" t="s">
        <v>41</v>
      </c>
      <c r="C28" s="430">
        <v>30000</v>
      </c>
      <c r="D28" s="398">
        <v>64487</v>
      </c>
      <c r="E28" s="404">
        <f>C28</f>
        <v>30000</v>
      </c>
      <c r="F28" s="404">
        <v>42642</v>
      </c>
      <c r="G28" s="398">
        <v>60000</v>
      </c>
      <c r="H28" s="398"/>
      <c r="I28" s="398"/>
      <c r="J28" s="602">
        <v>70000</v>
      </c>
      <c r="K28" s="4"/>
      <c r="L28" s="53"/>
      <c r="M28" s="65"/>
      <c r="N28" s="65"/>
      <c r="O28" s="69"/>
      <c r="P28" s="357" t="s">
        <v>239</v>
      </c>
      <c r="Q28" s="57">
        <f t="shared" si="0"/>
        <v>70000</v>
      </c>
      <c r="R28" s="348"/>
      <c r="S28" s="57">
        <v>40000</v>
      </c>
      <c r="T28" s="70"/>
      <c r="U28" s="70"/>
      <c r="V28" s="70"/>
      <c r="W28" s="70"/>
    </row>
    <row r="29" spans="1:23" s="2" customFormat="1" ht="12.75" customHeight="1">
      <c r="A29" s="124">
        <v>1325</v>
      </c>
      <c r="B29" s="518" t="s">
        <v>177</v>
      </c>
      <c r="C29" s="430">
        <v>80000</v>
      </c>
      <c r="D29" s="398">
        <v>291326</v>
      </c>
      <c r="E29" s="404">
        <v>316888</v>
      </c>
      <c r="F29" s="404">
        <v>316888</v>
      </c>
      <c r="G29" s="398">
        <v>330000</v>
      </c>
      <c r="H29" s="398"/>
      <c r="I29" s="398"/>
      <c r="J29" s="602">
        <f>355000-20000-50000</f>
        <v>285000</v>
      </c>
      <c r="K29" s="4"/>
      <c r="L29" s="53"/>
      <c r="M29" s="65"/>
      <c r="N29" s="65"/>
      <c r="O29" s="69"/>
      <c r="P29" s="357" t="s">
        <v>240</v>
      </c>
      <c r="Q29" s="57">
        <f t="shared" si="0"/>
        <v>285000</v>
      </c>
      <c r="R29" s="348"/>
      <c r="S29" s="57">
        <v>260000</v>
      </c>
      <c r="T29" s="70"/>
      <c r="U29" s="70"/>
      <c r="V29" s="70"/>
      <c r="W29" s="70"/>
    </row>
    <row r="30" spans="1:23" s="2" customFormat="1" ht="12.75" customHeight="1">
      <c r="A30" s="124"/>
      <c r="B30" s="535" t="s">
        <v>178</v>
      </c>
      <c r="C30" s="576"/>
      <c r="D30" s="577"/>
      <c r="E30" s="577">
        <v>50000</v>
      </c>
      <c r="F30" s="577">
        <v>50000</v>
      </c>
      <c r="G30" s="577"/>
      <c r="H30" s="577"/>
      <c r="I30" s="406"/>
      <c r="J30" s="602"/>
      <c r="K30" s="4"/>
      <c r="L30" s="53"/>
      <c r="M30" s="65"/>
      <c r="N30" s="65"/>
      <c r="O30" s="69"/>
      <c r="P30" s="357"/>
      <c r="Q30" s="57"/>
      <c r="R30" s="348"/>
      <c r="S30" s="57"/>
      <c r="T30" s="70"/>
      <c r="U30" s="70"/>
      <c r="V30" s="70"/>
      <c r="W30" s="70"/>
    </row>
    <row r="31" spans="1:23" s="2" customFormat="1" ht="12.75" customHeight="1">
      <c r="A31" s="124">
        <v>1312</v>
      </c>
      <c r="B31" s="592" t="s">
        <v>179</v>
      </c>
      <c r="C31" s="576">
        <v>370000</v>
      </c>
      <c r="D31" s="577">
        <v>246390</v>
      </c>
      <c r="E31" s="593">
        <f>C31</f>
        <v>370000</v>
      </c>
      <c r="F31" s="593">
        <v>309048</v>
      </c>
      <c r="G31" s="577">
        <v>370000</v>
      </c>
      <c r="H31" s="577"/>
      <c r="I31" s="398"/>
      <c r="J31" s="602">
        <v>270000</v>
      </c>
      <c r="K31" s="4"/>
      <c r="L31" s="53"/>
      <c r="M31" s="65"/>
      <c r="N31" s="65"/>
      <c r="O31" s="69"/>
      <c r="P31" s="357" t="s">
        <v>241</v>
      </c>
      <c r="Q31" s="57">
        <f aca="true" t="shared" si="1" ref="Q31:Q38">J31</f>
        <v>270000</v>
      </c>
      <c r="R31" s="348"/>
      <c r="S31" s="57"/>
      <c r="T31" s="70"/>
      <c r="U31" s="70"/>
      <c r="V31" s="70"/>
      <c r="W31" s="70"/>
    </row>
    <row r="32" spans="1:23" s="2" customFormat="1" ht="12.75" customHeight="1">
      <c r="A32" s="124"/>
      <c r="B32" s="592" t="s">
        <v>341</v>
      </c>
      <c r="C32" s="576"/>
      <c r="D32" s="577"/>
      <c r="E32" s="593"/>
      <c r="F32" s="593"/>
      <c r="G32" s="577"/>
      <c r="H32" s="577"/>
      <c r="I32" s="398"/>
      <c r="J32" s="602">
        <v>325000</v>
      </c>
      <c r="K32" s="4"/>
      <c r="L32" s="53"/>
      <c r="M32" s="65"/>
      <c r="N32" s="65"/>
      <c r="O32" s="69"/>
      <c r="P32" s="357" t="s">
        <v>243</v>
      </c>
      <c r="Q32" s="57">
        <f t="shared" si="1"/>
        <v>325000</v>
      </c>
      <c r="R32" s="348"/>
      <c r="S32" s="57">
        <v>250000</v>
      </c>
      <c r="T32" s="70"/>
      <c r="U32" s="70"/>
      <c r="V32" s="70"/>
      <c r="W32" s="70"/>
    </row>
    <row r="33" spans="1:23" s="2" customFormat="1" ht="12.75" customHeight="1">
      <c r="A33" s="124"/>
      <c r="B33" s="592" t="s">
        <v>245</v>
      </c>
      <c r="C33" s="576"/>
      <c r="D33" s="577"/>
      <c r="E33" s="593"/>
      <c r="F33" s="593"/>
      <c r="G33" s="577"/>
      <c r="H33" s="577"/>
      <c r="I33" s="398"/>
      <c r="J33" s="602"/>
      <c r="K33" s="4"/>
      <c r="L33" s="53"/>
      <c r="M33" s="65"/>
      <c r="N33" s="65"/>
      <c r="O33" s="69"/>
      <c r="P33" s="357"/>
      <c r="Q33" s="57">
        <f t="shared" si="1"/>
        <v>0</v>
      </c>
      <c r="R33" s="348"/>
      <c r="S33" s="57">
        <v>250000</v>
      </c>
      <c r="T33" s="70"/>
      <c r="U33" s="70"/>
      <c r="V33" s="70"/>
      <c r="W33" s="70"/>
    </row>
    <row r="34" spans="1:23" s="2" customFormat="1" ht="12.75" customHeight="1">
      <c r="A34" s="124">
        <v>1328</v>
      </c>
      <c r="B34" s="592" t="s">
        <v>44</v>
      </c>
      <c r="C34" s="576">
        <v>20000</v>
      </c>
      <c r="D34" s="577">
        <v>36664</v>
      </c>
      <c r="E34" s="593">
        <v>30050</v>
      </c>
      <c r="F34" s="593">
        <v>30050</v>
      </c>
      <c r="G34" s="577">
        <v>40000</v>
      </c>
      <c r="H34" s="577"/>
      <c r="I34" s="398"/>
      <c r="J34" s="602">
        <v>38000</v>
      </c>
      <c r="K34" s="4"/>
      <c r="L34" s="53"/>
      <c r="M34" s="65"/>
      <c r="N34" s="65"/>
      <c r="O34" s="69"/>
      <c r="P34" s="357" t="s">
        <v>244</v>
      </c>
      <c r="Q34" s="57">
        <f t="shared" si="1"/>
        <v>38000</v>
      </c>
      <c r="R34" s="348"/>
      <c r="S34" s="57">
        <v>24000</v>
      </c>
      <c r="T34" s="70"/>
      <c r="U34" s="70"/>
      <c r="V34" s="70"/>
      <c r="W34" s="70"/>
    </row>
    <row r="35" spans="1:23" s="2" customFormat="1" ht="12.75" customHeight="1">
      <c r="A35" s="124">
        <v>1316</v>
      </c>
      <c r="B35" s="592" t="s">
        <v>220</v>
      </c>
      <c r="C35" s="576">
        <v>60000</v>
      </c>
      <c r="D35" s="577">
        <v>148949</v>
      </c>
      <c r="E35" s="593">
        <v>38895</v>
      </c>
      <c r="F35" s="593">
        <v>38895</v>
      </c>
      <c r="G35" s="577">
        <v>50000</v>
      </c>
      <c r="H35" s="577"/>
      <c r="I35" s="398"/>
      <c r="J35" s="602">
        <v>60000</v>
      </c>
      <c r="K35" s="4"/>
      <c r="L35" s="53"/>
      <c r="M35" s="65"/>
      <c r="N35" s="65"/>
      <c r="O35" s="69"/>
      <c r="P35" s="357" t="s">
        <v>246</v>
      </c>
      <c r="Q35" s="57">
        <f t="shared" si="1"/>
        <v>60000</v>
      </c>
      <c r="R35" s="348"/>
      <c r="S35" s="57">
        <v>20000</v>
      </c>
      <c r="T35" s="70"/>
      <c r="U35" s="70"/>
      <c r="V35" s="70"/>
      <c r="W35" s="70"/>
    </row>
    <row r="36" spans="1:23" s="2" customFormat="1" ht="12.75" customHeight="1">
      <c r="A36" s="124">
        <v>1208</v>
      </c>
      <c r="B36" s="592" t="s">
        <v>180</v>
      </c>
      <c r="C36" s="576">
        <v>50000</v>
      </c>
      <c r="D36" s="577">
        <v>145055</v>
      </c>
      <c r="E36" s="593">
        <f>C36</f>
        <v>50000</v>
      </c>
      <c r="F36" s="593">
        <v>184574</v>
      </c>
      <c r="G36" s="577">
        <v>140000</v>
      </c>
      <c r="H36" s="577"/>
      <c r="I36" s="398"/>
      <c r="J36" s="602">
        <v>155000</v>
      </c>
      <c r="K36" s="4"/>
      <c r="L36" s="53"/>
      <c r="M36" s="65"/>
      <c r="N36" s="65"/>
      <c r="O36" s="69"/>
      <c r="P36" s="357" t="s">
        <v>248</v>
      </c>
      <c r="Q36" s="57">
        <f t="shared" si="1"/>
        <v>155000</v>
      </c>
      <c r="R36" s="348"/>
      <c r="S36" s="57">
        <v>90000</v>
      </c>
      <c r="T36" s="70"/>
      <c r="U36" s="70"/>
      <c r="V36" s="70"/>
      <c r="W36" s="70"/>
    </row>
    <row r="37" spans="1:23" s="2" customFormat="1" ht="12.75" customHeight="1">
      <c r="A37" s="124">
        <v>1322</v>
      </c>
      <c r="B37" s="592" t="s">
        <v>221</v>
      </c>
      <c r="C37" s="576"/>
      <c r="D37" s="577"/>
      <c r="E37" s="593"/>
      <c r="F37" s="593"/>
      <c r="G37" s="577">
        <v>95000</v>
      </c>
      <c r="H37" s="577"/>
      <c r="I37" s="398"/>
      <c r="J37" s="602">
        <v>96000</v>
      </c>
      <c r="K37" s="4"/>
      <c r="L37" s="53"/>
      <c r="M37" s="65"/>
      <c r="N37" s="65"/>
      <c r="O37" s="69"/>
      <c r="P37" s="357" t="s">
        <v>249</v>
      </c>
      <c r="Q37" s="57">
        <f t="shared" si="1"/>
        <v>96000</v>
      </c>
      <c r="R37" s="348"/>
      <c r="S37" s="57">
        <v>45000</v>
      </c>
      <c r="T37" s="70"/>
      <c r="U37" s="70"/>
      <c r="V37" s="70"/>
      <c r="W37" s="70"/>
    </row>
    <row r="38" spans="1:23" s="2" customFormat="1" ht="12.75" customHeight="1">
      <c r="A38" s="124">
        <v>1321</v>
      </c>
      <c r="B38" s="592" t="s">
        <v>181</v>
      </c>
      <c r="C38" s="576">
        <v>15000</v>
      </c>
      <c r="D38" s="577">
        <v>15013</v>
      </c>
      <c r="E38" s="593">
        <f>C38</f>
        <v>15000</v>
      </c>
      <c r="F38" s="593">
        <v>15211</v>
      </c>
      <c r="G38" s="577">
        <v>15000</v>
      </c>
      <c r="H38" s="577"/>
      <c r="I38" s="398"/>
      <c r="J38" s="602">
        <v>15000</v>
      </c>
      <c r="K38" s="4"/>
      <c r="L38" s="53"/>
      <c r="M38" s="65"/>
      <c r="N38" s="65"/>
      <c r="O38" s="69"/>
      <c r="P38" s="357" t="s">
        <v>247</v>
      </c>
      <c r="Q38" s="57">
        <f t="shared" si="1"/>
        <v>15000</v>
      </c>
      <c r="R38" s="348"/>
      <c r="S38" s="57"/>
      <c r="T38" s="70"/>
      <c r="U38" s="70"/>
      <c r="V38" s="70"/>
      <c r="W38" s="70"/>
    </row>
    <row r="39" spans="1:23" s="2" customFormat="1" ht="12.75" customHeight="1">
      <c r="A39" s="124">
        <v>1304</v>
      </c>
      <c r="B39" s="592" t="s">
        <v>45</v>
      </c>
      <c r="C39" s="576">
        <v>20000</v>
      </c>
      <c r="D39" s="577">
        <v>9000</v>
      </c>
      <c r="E39" s="593">
        <f>C39</f>
        <v>20000</v>
      </c>
      <c r="F39" s="593">
        <v>20602</v>
      </c>
      <c r="G39" s="577"/>
      <c r="H39" s="577"/>
      <c r="I39" s="398"/>
      <c r="J39" s="602"/>
      <c r="K39" s="4"/>
      <c r="L39" s="53"/>
      <c r="M39" s="65"/>
      <c r="N39" s="65"/>
      <c r="O39" s="69"/>
      <c r="P39" s="357"/>
      <c r="Q39" s="57"/>
      <c r="R39" s="348"/>
      <c r="S39" s="57"/>
      <c r="T39" s="70"/>
      <c r="U39" s="70"/>
      <c r="V39" s="70"/>
      <c r="W39" s="70"/>
    </row>
    <row r="40" spans="1:23" s="2" customFormat="1" ht="12.75" customHeight="1">
      <c r="A40" s="124">
        <v>1320</v>
      </c>
      <c r="B40" s="592" t="s">
        <v>182</v>
      </c>
      <c r="C40" s="576">
        <v>50000</v>
      </c>
      <c r="D40" s="577">
        <v>5500</v>
      </c>
      <c r="E40" s="593">
        <v>54436</v>
      </c>
      <c r="F40" s="593">
        <v>54436</v>
      </c>
      <c r="G40" s="577">
        <v>80000</v>
      </c>
      <c r="H40" s="577"/>
      <c r="I40" s="398"/>
      <c r="J40" s="602">
        <f>80000-5000</f>
        <v>75000</v>
      </c>
      <c r="K40" s="4"/>
      <c r="L40" s="53"/>
      <c r="M40" s="65"/>
      <c r="N40" s="65"/>
      <c r="O40" s="69"/>
      <c r="P40" s="357" t="s">
        <v>250</v>
      </c>
      <c r="Q40" s="57">
        <f>J40</f>
        <v>75000</v>
      </c>
      <c r="R40" s="348"/>
      <c r="S40" s="57">
        <v>30000</v>
      </c>
      <c r="T40" s="70"/>
      <c r="U40" s="70"/>
      <c r="V40" s="70"/>
      <c r="W40" s="70"/>
    </row>
    <row r="41" spans="1:23" s="2" customFormat="1" ht="12.75" customHeight="1">
      <c r="A41" s="124"/>
      <c r="B41" s="592" t="s">
        <v>183</v>
      </c>
      <c r="C41" s="576"/>
      <c r="D41" s="577"/>
      <c r="E41" s="593">
        <v>10000</v>
      </c>
      <c r="F41" s="593">
        <v>10000</v>
      </c>
      <c r="G41" s="577"/>
      <c r="H41" s="577"/>
      <c r="I41" s="406"/>
      <c r="J41" s="602"/>
      <c r="K41" s="4"/>
      <c r="L41" s="53"/>
      <c r="M41" s="65"/>
      <c r="N41" s="65"/>
      <c r="O41" s="69"/>
      <c r="P41" s="357"/>
      <c r="Q41" s="57"/>
      <c r="R41" s="348"/>
      <c r="S41" s="57"/>
      <c r="T41" s="70"/>
      <c r="U41" s="70"/>
      <c r="V41" s="70"/>
      <c r="W41" s="70"/>
    </row>
    <row r="42" spans="1:23" s="2" customFormat="1" ht="12.75" customHeight="1">
      <c r="A42" s="124">
        <v>1305</v>
      </c>
      <c r="B42" s="592" t="s">
        <v>343</v>
      </c>
      <c r="C42" s="576">
        <v>20000</v>
      </c>
      <c r="D42" s="577">
        <v>19921</v>
      </c>
      <c r="E42" s="593">
        <f>C42</f>
        <v>20000</v>
      </c>
      <c r="F42" s="593">
        <v>12524</v>
      </c>
      <c r="G42" s="577">
        <v>20000</v>
      </c>
      <c r="H42" s="577"/>
      <c r="I42" s="398"/>
      <c r="J42" s="602">
        <v>10000</v>
      </c>
      <c r="K42" s="4"/>
      <c r="L42" s="53"/>
      <c r="M42" s="65"/>
      <c r="N42" s="65"/>
      <c r="O42" s="69"/>
      <c r="P42" s="357" t="s">
        <v>146</v>
      </c>
      <c r="Q42" s="57">
        <f>J42</f>
        <v>10000</v>
      </c>
      <c r="R42" s="348"/>
      <c r="S42" s="57"/>
      <c r="T42" s="70"/>
      <c r="U42" s="70"/>
      <c r="V42" s="70"/>
      <c r="W42" s="70"/>
    </row>
    <row r="43" spans="1:23" s="2" customFormat="1" ht="12.75" customHeight="1">
      <c r="A43" s="124">
        <v>1905</v>
      </c>
      <c r="B43" s="592" t="s">
        <v>186</v>
      </c>
      <c r="C43" s="576"/>
      <c r="D43" s="577"/>
      <c r="E43" s="593">
        <v>40000</v>
      </c>
      <c r="F43" s="593">
        <v>85118</v>
      </c>
      <c r="G43" s="577">
        <v>90000</v>
      </c>
      <c r="H43" s="577"/>
      <c r="I43" s="406"/>
      <c r="J43" s="602">
        <v>80000</v>
      </c>
      <c r="K43" s="4"/>
      <c r="L43" s="53"/>
      <c r="M43" s="65"/>
      <c r="N43" s="65"/>
      <c r="O43" s="69"/>
      <c r="P43" s="357" t="s">
        <v>255</v>
      </c>
      <c r="Q43" s="57"/>
      <c r="R43" s="348"/>
      <c r="S43" s="57"/>
      <c r="T43" s="70"/>
      <c r="U43" s="70"/>
      <c r="V43" s="70"/>
      <c r="W43" s="70"/>
    </row>
    <row r="44" spans="1:23" s="2" customFormat="1" ht="12.75" customHeight="1">
      <c r="A44" s="124"/>
      <c r="B44" s="592" t="s">
        <v>308</v>
      </c>
      <c r="C44" s="576"/>
      <c r="D44" s="577"/>
      <c r="E44" s="593">
        <v>15000</v>
      </c>
      <c r="F44" s="593">
        <v>15000</v>
      </c>
      <c r="G44" s="577"/>
      <c r="H44" s="577"/>
      <c r="I44" s="406"/>
      <c r="J44" s="602"/>
      <c r="K44" s="4"/>
      <c r="L44" s="53"/>
      <c r="M44" s="65"/>
      <c r="N44" s="65"/>
      <c r="O44" s="69"/>
      <c r="P44" s="357"/>
      <c r="Q44" s="57"/>
      <c r="R44" s="348"/>
      <c r="S44" s="57"/>
      <c r="T44" s="70"/>
      <c r="U44" s="70"/>
      <c r="V44" s="70"/>
      <c r="W44" s="70"/>
    </row>
    <row r="45" spans="1:23" s="2" customFormat="1" ht="12.75" customHeight="1">
      <c r="A45" s="124"/>
      <c r="B45" s="592" t="s">
        <v>317</v>
      </c>
      <c r="C45" s="576"/>
      <c r="D45" s="577"/>
      <c r="E45" s="593"/>
      <c r="F45" s="593">
        <v>86701</v>
      </c>
      <c r="G45" s="577">
        <v>210000</v>
      </c>
      <c r="H45" s="577"/>
      <c r="I45" s="406"/>
      <c r="J45" s="602">
        <v>106000</v>
      </c>
      <c r="K45" s="4"/>
      <c r="L45" s="53"/>
      <c r="M45" s="65"/>
      <c r="N45" s="65"/>
      <c r="O45" s="69"/>
      <c r="P45" s="357" t="s">
        <v>251</v>
      </c>
      <c r="Q45" s="57"/>
      <c r="R45" s="348"/>
      <c r="S45" s="57"/>
      <c r="T45" s="70"/>
      <c r="U45" s="70"/>
      <c r="V45" s="70"/>
      <c r="W45" s="70"/>
    </row>
    <row r="46" spans="1:23" s="2" customFormat="1" ht="12.75" customHeight="1">
      <c r="A46" s="124"/>
      <c r="B46" s="592" t="s">
        <v>254</v>
      </c>
      <c r="C46" s="576"/>
      <c r="D46" s="577"/>
      <c r="E46" s="593"/>
      <c r="F46" s="593"/>
      <c r="G46" s="577">
        <v>90000</v>
      </c>
      <c r="H46" s="577"/>
      <c r="I46" s="406"/>
      <c r="J46" s="602"/>
      <c r="K46" s="4"/>
      <c r="L46" s="53"/>
      <c r="M46" s="65"/>
      <c r="N46" s="65"/>
      <c r="O46" s="69"/>
      <c r="P46" s="357"/>
      <c r="Q46" s="57">
        <f>J46</f>
        <v>0</v>
      </c>
      <c r="R46" s="348"/>
      <c r="S46" s="57"/>
      <c r="T46" s="70"/>
      <c r="U46" s="70"/>
      <c r="V46" s="70"/>
      <c r="W46" s="70"/>
    </row>
    <row r="47" spans="1:23" s="2" customFormat="1" ht="12.75" customHeight="1">
      <c r="A47" s="124"/>
      <c r="B47" s="592" t="s">
        <v>342</v>
      </c>
      <c r="C47" s="576"/>
      <c r="D47" s="577"/>
      <c r="E47" s="593"/>
      <c r="F47" s="593"/>
      <c r="G47" s="577"/>
      <c r="H47" s="577"/>
      <c r="I47" s="406"/>
      <c r="J47" s="602">
        <v>20000</v>
      </c>
      <c r="K47" s="4"/>
      <c r="L47" s="53"/>
      <c r="M47" s="65"/>
      <c r="N47" s="65"/>
      <c r="O47" s="69"/>
      <c r="P47" s="357" t="s">
        <v>252</v>
      </c>
      <c r="Q47" s="57">
        <f>J47</f>
        <v>20000</v>
      </c>
      <c r="R47" s="348"/>
      <c r="S47" s="57"/>
      <c r="T47" s="70"/>
      <c r="U47" s="70"/>
      <c r="V47" s="70"/>
      <c r="W47" s="70"/>
    </row>
    <row r="48" spans="1:23" s="2" customFormat="1" ht="12.75" customHeight="1">
      <c r="A48" s="124"/>
      <c r="B48" s="592" t="s">
        <v>344</v>
      </c>
      <c r="C48" s="576"/>
      <c r="D48" s="577"/>
      <c r="E48" s="593"/>
      <c r="F48" s="593"/>
      <c r="G48" s="577"/>
      <c r="H48" s="577"/>
      <c r="I48" s="406"/>
      <c r="J48" s="602">
        <v>10000</v>
      </c>
      <c r="K48" s="4"/>
      <c r="L48" s="53"/>
      <c r="M48" s="65"/>
      <c r="N48" s="65"/>
      <c r="O48" s="69"/>
      <c r="P48" s="357" t="s">
        <v>258</v>
      </c>
      <c r="Q48" s="57">
        <f>J48</f>
        <v>10000</v>
      </c>
      <c r="R48" s="348"/>
      <c r="S48" s="57"/>
      <c r="T48" s="70"/>
      <c r="U48" s="70"/>
      <c r="V48" s="70"/>
      <c r="W48" s="70"/>
    </row>
    <row r="49" spans="1:23" s="2" customFormat="1" ht="12.75" customHeight="1">
      <c r="A49" s="124"/>
      <c r="B49" s="592" t="s">
        <v>225</v>
      </c>
      <c r="C49" s="576"/>
      <c r="D49" s="577"/>
      <c r="E49" s="593"/>
      <c r="F49" s="593"/>
      <c r="G49" s="577"/>
      <c r="H49" s="577"/>
      <c r="I49" s="398"/>
      <c r="J49" s="602"/>
      <c r="K49" s="4"/>
      <c r="L49" s="53"/>
      <c r="M49" s="65"/>
      <c r="N49" s="65"/>
      <c r="O49" s="69"/>
      <c r="P49" s="357"/>
      <c r="Q49" s="57">
        <f>J49</f>
        <v>0</v>
      </c>
      <c r="R49" s="57"/>
      <c r="S49" s="57"/>
      <c r="T49" s="70"/>
      <c r="U49" s="70"/>
      <c r="V49" s="70"/>
      <c r="W49" s="70"/>
    </row>
    <row r="50" spans="1:23" s="2" customFormat="1" ht="12.75" customHeight="1">
      <c r="A50" s="124"/>
      <c r="B50" s="592" t="s">
        <v>226</v>
      </c>
      <c r="C50" s="576"/>
      <c r="D50" s="577"/>
      <c r="E50" s="593"/>
      <c r="F50" s="593"/>
      <c r="G50" s="577"/>
      <c r="H50" s="577"/>
      <c r="I50" s="398"/>
      <c r="J50" s="602"/>
      <c r="K50" s="4"/>
      <c r="L50" s="53"/>
      <c r="M50" s="65"/>
      <c r="N50" s="65"/>
      <c r="O50" s="69"/>
      <c r="P50" s="357"/>
      <c r="Q50" s="57">
        <f>J50</f>
        <v>0</v>
      </c>
      <c r="R50" s="57"/>
      <c r="S50" s="57"/>
      <c r="T50" s="70"/>
      <c r="U50" s="70"/>
      <c r="V50" s="70"/>
      <c r="W50" s="70"/>
    </row>
    <row r="51" spans="1:23" s="2" customFormat="1" ht="12.75" customHeight="1">
      <c r="A51" s="124"/>
      <c r="B51" s="592" t="s">
        <v>184</v>
      </c>
      <c r="C51" s="576"/>
      <c r="D51" s="577">
        <v>57000</v>
      </c>
      <c r="E51" s="593"/>
      <c r="F51" s="593"/>
      <c r="G51" s="577"/>
      <c r="H51" s="577"/>
      <c r="I51" s="398"/>
      <c r="J51" s="602">
        <v>0</v>
      </c>
      <c r="K51" s="4"/>
      <c r="L51" s="53"/>
      <c r="M51" s="65"/>
      <c r="N51" s="65"/>
      <c r="O51" s="69"/>
      <c r="P51" s="357"/>
      <c r="Q51" s="57"/>
      <c r="R51" s="57"/>
      <c r="S51" s="57"/>
      <c r="T51" s="70"/>
      <c r="U51" s="70"/>
      <c r="V51" s="70"/>
      <c r="W51" s="70"/>
    </row>
    <row r="52" spans="1:23" s="2" customFormat="1" ht="12.75" customHeight="1">
      <c r="A52" s="124"/>
      <c r="B52" s="518" t="s">
        <v>185</v>
      </c>
      <c r="C52" s="430"/>
      <c r="D52" s="398">
        <v>393700</v>
      </c>
      <c r="E52" s="404"/>
      <c r="F52" s="397">
        <v>130800</v>
      </c>
      <c r="G52" s="398"/>
      <c r="H52" s="398"/>
      <c r="I52" s="398"/>
      <c r="J52" s="602"/>
      <c r="K52" s="4"/>
      <c r="L52" s="53"/>
      <c r="M52" s="65"/>
      <c r="N52" s="65"/>
      <c r="O52" s="69"/>
      <c r="P52" s="357"/>
      <c r="Q52" s="57"/>
      <c r="R52" s="57"/>
      <c r="S52" s="57"/>
      <c r="T52" s="70"/>
      <c r="U52" s="70"/>
      <c r="V52" s="70"/>
      <c r="W52" s="70"/>
    </row>
    <row r="53" spans="1:23" s="2" customFormat="1" ht="12.75" customHeight="1">
      <c r="A53" s="124"/>
      <c r="B53" s="518" t="s">
        <v>318</v>
      </c>
      <c r="C53" s="430">
        <v>30262</v>
      </c>
      <c r="D53" s="398"/>
      <c r="E53" s="404">
        <f>C53</f>
        <v>30262</v>
      </c>
      <c r="F53" s="404">
        <v>13469</v>
      </c>
      <c r="G53" s="398">
        <v>37644</v>
      </c>
      <c r="H53" s="398"/>
      <c r="I53" s="406"/>
      <c r="J53" s="602"/>
      <c r="K53" s="4"/>
      <c r="L53" s="53"/>
      <c r="M53" s="65"/>
      <c r="N53" s="65"/>
      <c r="O53" s="69"/>
      <c r="P53" s="357"/>
      <c r="Q53" s="57"/>
      <c r="R53" s="57"/>
      <c r="S53" s="57"/>
      <c r="T53" s="70"/>
      <c r="U53" s="70"/>
      <c r="V53" s="70"/>
      <c r="W53" s="70"/>
    </row>
    <row r="54" spans="1:23" s="2" customFormat="1" ht="12.75" customHeight="1">
      <c r="A54" s="124"/>
      <c r="B54" s="518" t="s">
        <v>189</v>
      </c>
      <c r="C54" s="431">
        <v>162594</v>
      </c>
      <c r="D54" s="398"/>
      <c r="E54" s="404">
        <f>C54</f>
        <v>162594</v>
      </c>
      <c r="F54" s="404">
        <v>158546</v>
      </c>
      <c r="G54" s="398">
        <v>677600</v>
      </c>
      <c r="H54" s="398"/>
      <c r="I54" s="406"/>
      <c r="J54" s="602"/>
      <c r="K54" s="4"/>
      <c r="L54" s="53"/>
      <c r="M54" s="65"/>
      <c r="N54" s="65"/>
      <c r="O54" s="69"/>
      <c r="P54" s="357"/>
      <c r="Q54" s="57"/>
      <c r="R54" s="57"/>
      <c r="S54" s="57"/>
      <c r="T54" s="70"/>
      <c r="U54" s="70"/>
      <c r="V54" s="70"/>
      <c r="W54" s="70"/>
    </row>
    <row r="55" spans="1:23" s="2" customFormat="1" ht="12.75" customHeight="1" thickBot="1">
      <c r="A55" s="124"/>
      <c r="B55" s="536" t="s">
        <v>157</v>
      </c>
      <c r="C55" s="432">
        <v>727935</v>
      </c>
      <c r="D55" s="408">
        <v>710944</v>
      </c>
      <c r="E55" s="407">
        <f>C55</f>
        <v>727935</v>
      </c>
      <c r="F55" s="407">
        <v>680479</v>
      </c>
      <c r="G55" s="408">
        <v>749468</v>
      </c>
      <c r="H55" s="408"/>
      <c r="I55" s="408"/>
      <c r="J55" s="603">
        <f>830651-J119</f>
        <v>805885</v>
      </c>
      <c r="K55" s="4"/>
      <c r="L55" s="26"/>
      <c r="M55" s="81"/>
      <c r="N55" s="81"/>
      <c r="O55" s="69"/>
      <c r="P55" s="359" t="s">
        <v>293</v>
      </c>
      <c r="Q55" s="57"/>
      <c r="R55" s="57"/>
      <c r="S55" s="57"/>
      <c r="T55" s="70"/>
      <c r="U55" s="70"/>
      <c r="V55" s="70"/>
      <c r="W55" s="70"/>
    </row>
    <row r="56" spans="1:19" s="11" customFormat="1" ht="14.25" thickBot="1">
      <c r="A56" s="124"/>
      <c r="B56" s="434" t="s">
        <v>2</v>
      </c>
      <c r="C56" s="433">
        <f>SUM(C7:C55)</f>
        <v>12493975</v>
      </c>
      <c r="D56" s="360">
        <f>SUM(D7:D55)</f>
        <v>12469547</v>
      </c>
      <c r="E56" s="44">
        <f>SUM(E7:E55)</f>
        <v>12888766</v>
      </c>
      <c r="F56" s="44">
        <f>SUM(F7:F55)</f>
        <v>12963019</v>
      </c>
      <c r="G56" s="360">
        <f>SUM(G7:G55)</f>
        <v>13681193</v>
      </c>
      <c r="H56" s="360"/>
      <c r="I56" s="360">
        <f>SUM(I7:I55)</f>
        <v>0</v>
      </c>
      <c r="J56" s="425">
        <f>SUM(J7:J55)</f>
        <v>14833046</v>
      </c>
      <c r="K56" s="5"/>
      <c r="L56" s="56"/>
      <c r="M56" s="82"/>
      <c r="N56" s="82"/>
      <c r="O56" s="83"/>
      <c r="P56" s="124"/>
      <c r="Q56" s="512">
        <f>SUM(Q12:Q55)</f>
        <v>2904500</v>
      </c>
      <c r="R56" s="7"/>
      <c r="S56" s="512">
        <f>SUM(S12:S55)</f>
        <v>1057000</v>
      </c>
    </row>
    <row r="57" spans="1:22" ht="15.75" thickBot="1">
      <c r="A57" s="347"/>
      <c r="B57" s="361"/>
      <c r="C57" s="13"/>
      <c r="D57" s="362"/>
      <c r="E57" s="22"/>
      <c r="F57" s="22"/>
      <c r="G57" s="362"/>
      <c r="H57" s="362"/>
      <c r="I57" s="362"/>
      <c r="J57" s="604"/>
      <c r="K57" s="4"/>
      <c r="L57" s="64"/>
      <c r="M57" s="65"/>
      <c r="N57" s="65"/>
      <c r="O57" s="33"/>
      <c r="Q57" s="7"/>
      <c r="R57" s="7"/>
      <c r="S57" s="7"/>
      <c r="T57" s="10"/>
      <c r="U57" s="10"/>
      <c r="V57" s="10"/>
    </row>
    <row r="58" spans="2:22" ht="15.75" thickBot="1">
      <c r="B58" s="363" t="s">
        <v>3</v>
      </c>
      <c r="C58" s="14"/>
      <c r="D58" s="362"/>
      <c r="E58" s="22"/>
      <c r="F58" s="22"/>
      <c r="G58" s="362"/>
      <c r="H58" s="362"/>
      <c r="I58" s="362"/>
      <c r="J58" s="604"/>
      <c r="K58" s="14"/>
      <c r="L58" s="64"/>
      <c r="M58" s="65"/>
      <c r="N58" s="65"/>
      <c r="O58" s="33"/>
      <c r="Q58" s="7"/>
      <c r="R58" s="7"/>
      <c r="S58" s="7"/>
      <c r="T58" s="10"/>
      <c r="U58" s="5"/>
      <c r="V58" s="10"/>
    </row>
    <row r="59" spans="1:22" s="2" customFormat="1" ht="12.75" customHeight="1">
      <c r="A59" s="124"/>
      <c r="B59" s="525" t="s">
        <v>11</v>
      </c>
      <c r="C59" s="444">
        <v>2500000</v>
      </c>
      <c r="D59" s="437">
        <v>2882256</v>
      </c>
      <c r="E59" s="436">
        <f>C59</f>
        <v>2500000</v>
      </c>
      <c r="F59" s="436">
        <v>2548002</v>
      </c>
      <c r="G59" s="437">
        <v>2680000</v>
      </c>
      <c r="H59" s="437"/>
      <c r="I59" s="437"/>
      <c r="J59" s="605">
        <v>2948000</v>
      </c>
      <c r="K59" s="26"/>
      <c r="L59" s="30"/>
      <c r="M59" s="65"/>
      <c r="N59" s="65"/>
      <c r="O59" s="69"/>
      <c r="P59" s="356"/>
      <c r="Q59" s="57"/>
      <c r="R59" s="16"/>
      <c r="S59" s="57"/>
      <c r="T59" s="69"/>
      <c r="U59" s="69"/>
      <c r="V59" s="69"/>
    </row>
    <row r="60" spans="1:22" s="2" customFormat="1" ht="12.75" customHeight="1">
      <c r="A60" s="124"/>
      <c r="B60" s="526" t="s">
        <v>227</v>
      </c>
      <c r="C60" s="426"/>
      <c r="D60" s="411"/>
      <c r="E60" s="496"/>
      <c r="F60" s="496"/>
      <c r="G60" s="411"/>
      <c r="H60" s="411"/>
      <c r="I60" s="411"/>
      <c r="J60" s="601"/>
      <c r="K60" s="26"/>
      <c r="L60" s="30"/>
      <c r="M60" s="65"/>
      <c r="N60" s="65"/>
      <c r="O60" s="69"/>
      <c r="P60" s="414"/>
      <c r="Q60" s="57"/>
      <c r="R60" s="16"/>
      <c r="S60" s="57"/>
      <c r="T60" s="69"/>
      <c r="U60" s="69"/>
      <c r="V60" s="69"/>
    </row>
    <row r="61" spans="1:22" s="2" customFormat="1" ht="12.75" customHeight="1">
      <c r="A61" s="124"/>
      <c r="B61" s="527" t="s">
        <v>190</v>
      </c>
      <c r="C61" s="427">
        <v>162594</v>
      </c>
      <c r="D61" s="398"/>
      <c r="E61" s="439">
        <f>C61</f>
        <v>162594</v>
      </c>
      <c r="F61" s="439">
        <v>158546</v>
      </c>
      <c r="G61" s="398">
        <v>677600</v>
      </c>
      <c r="H61" s="398"/>
      <c r="I61" s="406"/>
      <c r="J61" s="602"/>
      <c r="K61" s="26"/>
      <c r="L61" s="30"/>
      <c r="M61" s="65"/>
      <c r="N61" s="65"/>
      <c r="O61" s="69"/>
      <c r="P61" s="357"/>
      <c r="Q61" s="57"/>
      <c r="R61" s="16"/>
      <c r="S61" s="57"/>
      <c r="T61" s="69"/>
      <c r="U61" s="69"/>
      <c r="V61" s="69"/>
    </row>
    <row r="62" spans="1:22" s="2" customFormat="1" ht="12.75" customHeight="1">
      <c r="A62" s="124"/>
      <c r="B62" s="527" t="s">
        <v>192</v>
      </c>
      <c r="C62" s="430">
        <v>30262</v>
      </c>
      <c r="D62" s="398"/>
      <c r="E62" s="439">
        <f>C62</f>
        <v>30262</v>
      </c>
      <c r="F62" s="439">
        <v>0</v>
      </c>
      <c r="G62" s="398">
        <v>37644</v>
      </c>
      <c r="H62" s="398"/>
      <c r="I62" s="406"/>
      <c r="J62" s="602"/>
      <c r="K62" s="53"/>
      <c r="L62" s="30"/>
      <c r="M62" s="65"/>
      <c r="N62" s="65"/>
      <c r="O62" s="69"/>
      <c r="P62" s="357"/>
      <c r="Q62" s="57"/>
      <c r="R62" s="16"/>
      <c r="S62" s="57"/>
      <c r="T62" s="69"/>
      <c r="U62" s="69"/>
      <c r="V62" s="69"/>
    </row>
    <row r="63" spans="1:22" s="2" customFormat="1" ht="12.75" customHeight="1">
      <c r="A63" s="124"/>
      <c r="B63" s="527" t="s">
        <v>12</v>
      </c>
      <c r="C63" s="427">
        <v>20000</v>
      </c>
      <c r="D63" s="398">
        <v>2635</v>
      </c>
      <c r="E63" s="439">
        <f>C63</f>
        <v>20000</v>
      </c>
      <c r="F63" s="439">
        <v>18863</v>
      </c>
      <c r="G63" s="398">
        <v>21000</v>
      </c>
      <c r="H63" s="398"/>
      <c r="I63" s="398"/>
      <c r="J63" s="602">
        <v>23100</v>
      </c>
      <c r="K63" s="26"/>
      <c r="L63" s="30"/>
      <c r="M63" s="65"/>
      <c r="N63" s="65"/>
      <c r="O63" s="69"/>
      <c r="P63" s="357"/>
      <c r="Q63" s="57"/>
      <c r="R63" s="16" t="s">
        <v>263</v>
      </c>
      <c r="S63" s="57"/>
      <c r="T63" s="69"/>
      <c r="U63" s="69"/>
      <c r="V63" s="69"/>
    </row>
    <row r="64" spans="1:22" s="2" customFormat="1" ht="12.75" customHeight="1">
      <c r="A64" s="124"/>
      <c r="B64" s="541" t="s">
        <v>4</v>
      </c>
      <c r="C64" s="542">
        <v>7365189</v>
      </c>
      <c r="D64" s="543">
        <v>6381243</v>
      </c>
      <c r="E64" s="544">
        <v>7425365</v>
      </c>
      <c r="F64" s="544">
        <v>7425365</v>
      </c>
      <c r="G64" s="543">
        <v>7644949</v>
      </c>
      <c r="H64" s="543"/>
      <c r="I64" s="543"/>
      <c r="J64" s="606">
        <f>8731946+900000-160000-50000</f>
        <v>9421946</v>
      </c>
      <c r="K64" s="53"/>
      <c r="L64" s="30"/>
      <c r="M64" s="65"/>
      <c r="N64" s="65"/>
      <c r="O64" s="69"/>
      <c r="P64" s="357"/>
      <c r="Q64" s="57"/>
      <c r="R64" s="16"/>
      <c r="S64" s="57"/>
      <c r="T64" s="69"/>
      <c r="U64" s="69"/>
      <c r="V64" s="5"/>
    </row>
    <row r="65" spans="1:22" s="2" customFormat="1" ht="12.75" customHeight="1">
      <c r="A65" s="124"/>
      <c r="B65" s="580" t="s">
        <v>266</v>
      </c>
      <c r="C65" s="581">
        <v>950000</v>
      </c>
      <c r="D65" s="582">
        <v>950000</v>
      </c>
      <c r="E65" s="583">
        <f>C65</f>
        <v>950000</v>
      </c>
      <c r="F65" s="583">
        <v>950000</v>
      </c>
      <c r="G65" s="582">
        <v>950000</v>
      </c>
      <c r="H65" s="582"/>
      <c r="I65" s="582"/>
      <c r="J65" s="607">
        <f>1050000-50000</f>
        <v>1000000</v>
      </c>
      <c r="K65" s="53"/>
      <c r="L65" s="30"/>
      <c r="M65" s="65"/>
      <c r="N65" s="65"/>
      <c r="O65" s="69"/>
      <c r="P65" s="357"/>
      <c r="Q65" s="57"/>
      <c r="R65" s="16">
        <f>J65</f>
        <v>1000000</v>
      </c>
      <c r="S65" s="57"/>
      <c r="T65" s="69"/>
      <c r="U65" s="69"/>
      <c r="V65" s="69"/>
    </row>
    <row r="66" spans="1:22" s="2" customFormat="1" ht="12.75" customHeight="1">
      <c r="A66" s="124"/>
      <c r="B66" s="579" t="s">
        <v>311</v>
      </c>
      <c r="C66" s="576"/>
      <c r="D66" s="620"/>
      <c r="E66" s="578">
        <v>130000</v>
      </c>
      <c r="F66" s="578">
        <v>130000</v>
      </c>
      <c r="G66" s="620"/>
      <c r="H66" s="620"/>
      <c r="I66" s="620"/>
      <c r="J66" s="623"/>
      <c r="K66" s="53"/>
      <c r="L66" s="30"/>
      <c r="M66" s="65"/>
      <c r="N66" s="65"/>
      <c r="O66" s="69"/>
      <c r="P66" s="357"/>
      <c r="Q66" s="57"/>
      <c r="S66" s="57"/>
      <c r="T66" s="69"/>
      <c r="U66" s="69"/>
      <c r="V66" s="69"/>
    </row>
    <row r="67" spans="1:22" s="2" customFormat="1" ht="12.75" customHeight="1">
      <c r="A67" s="124"/>
      <c r="B67" s="579" t="s">
        <v>309</v>
      </c>
      <c r="C67" s="576"/>
      <c r="D67" s="620"/>
      <c r="E67" s="578">
        <v>30000</v>
      </c>
      <c r="F67" s="578">
        <v>30000</v>
      </c>
      <c r="G67" s="620">
        <v>50000</v>
      </c>
      <c r="H67" s="620"/>
      <c r="I67" s="620"/>
      <c r="J67" s="623"/>
      <c r="K67" s="53"/>
      <c r="L67" s="30"/>
      <c r="M67" s="65"/>
      <c r="N67" s="65"/>
      <c r="O67" s="69"/>
      <c r="P67" s="357"/>
      <c r="Q67" s="57"/>
      <c r="R67" s="16"/>
      <c r="S67" s="57"/>
      <c r="T67" s="69"/>
      <c r="U67" s="69"/>
      <c r="V67" s="69"/>
    </row>
    <row r="68" spans="1:22" s="2" customFormat="1" ht="12.75" customHeight="1">
      <c r="A68" s="124"/>
      <c r="B68" s="584" t="s">
        <v>324</v>
      </c>
      <c r="C68" s="581"/>
      <c r="D68" s="582"/>
      <c r="E68" s="583"/>
      <c r="F68" s="583"/>
      <c r="G68" s="582">
        <v>50000</v>
      </c>
      <c r="H68" s="582"/>
      <c r="I68" s="582"/>
      <c r="J68" s="607">
        <v>50000</v>
      </c>
      <c r="K68" s="53"/>
      <c r="L68" s="30"/>
      <c r="M68" s="65"/>
      <c r="N68" s="65"/>
      <c r="O68" s="69"/>
      <c r="P68" s="357"/>
      <c r="Q68" s="57"/>
      <c r="R68" s="16">
        <f>J68</f>
        <v>50000</v>
      </c>
      <c r="S68" s="57"/>
      <c r="T68" s="69"/>
      <c r="U68" s="69"/>
      <c r="V68" s="69"/>
    </row>
    <row r="69" spans="1:22" s="2" customFormat="1" ht="12.75" customHeight="1">
      <c r="A69" s="124"/>
      <c r="B69" s="585" t="s">
        <v>267</v>
      </c>
      <c r="C69" s="586">
        <v>402930</v>
      </c>
      <c r="D69" s="565">
        <v>340000</v>
      </c>
      <c r="E69" s="566">
        <v>510154</v>
      </c>
      <c r="F69" s="566">
        <v>510154</v>
      </c>
      <c r="G69" s="399"/>
      <c r="H69" s="399"/>
      <c r="I69" s="622"/>
      <c r="J69" s="615"/>
      <c r="K69" s="53"/>
      <c r="L69" s="30"/>
      <c r="M69" s="65"/>
      <c r="N69" s="65"/>
      <c r="O69" s="69"/>
      <c r="P69" s="357"/>
      <c r="Q69" s="57"/>
      <c r="R69" s="16"/>
      <c r="S69" s="57"/>
      <c r="T69" s="69"/>
      <c r="U69" s="69"/>
      <c r="V69" s="69"/>
    </row>
    <row r="70" spans="1:22" s="2" customFormat="1" ht="12.75" customHeight="1">
      <c r="A70" s="124"/>
      <c r="B70" s="585" t="s">
        <v>296</v>
      </c>
      <c r="C70" s="586"/>
      <c r="D70" s="565">
        <v>55000</v>
      </c>
      <c r="E70" s="439"/>
      <c r="F70" s="439"/>
      <c r="G70" s="399"/>
      <c r="H70" s="399"/>
      <c r="I70" s="399"/>
      <c r="J70" s="615"/>
      <c r="K70" s="53"/>
      <c r="L70" s="30"/>
      <c r="M70" s="65"/>
      <c r="N70" s="65"/>
      <c r="O70" s="69"/>
      <c r="P70" s="357"/>
      <c r="Q70" s="57"/>
      <c r="R70" s="16"/>
      <c r="S70" s="57"/>
      <c r="T70" s="69"/>
      <c r="U70" s="69"/>
      <c r="V70" s="69"/>
    </row>
    <row r="71" spans="1:19" s="2" customFormat="1" ht="12.75" customHeight="1">
      <c r="A71" s="124"/>
      <c r="B71" s="588" t="s">
        <v>325</v>
      </c>
      <c r="C71" s="567">
        <v>30000</v>
      </c>
      <c r="D71" s="565">
        <v>42000</v>
      </c>
      <c r="E71" s="566">
        <f>C71</f>
        <v>30000</v>
      </c>
      <c r="F71" s="566">
        <v>30000</v>
      </c>
      <c r="G71" s="565">
        <v>30000</v>
      </c>
      <c r="H71" s="565"/>
      <c r="I71" s="565"/>
      <c r="J71" s="608">
        <v>30000</v>
      </c>
      <c r="K71" s="53"/>
      <c r="L71" s="30"/>
      <c r="M71" s="65"/>
      <c r="N71" s="65"/>
      <c r="O71" s="69"/>
      <c r="P71" s="357"/>
      <c r="Q71" s="57"/>
      <c r="R71" s="16">
        <f aca="true" t="shared" si="2" ref="R71:R100">J71</f>
        <v>30000</v>
      </c>
      <c r="S71" s="57"/>
    </row>
    <row r="72" spans="1:19" s="2" customFormat="1" ht="12.75" customHeight="1">
      <c r="A72" s="124"/>
      <c r="B72" s="588" t="s">
        <v>295</v>
      </c>
      <c r="C72" s="567"/>
      <c r="D72" s="565">
        <v>30000</v>
      </c>
      <c r="E72" s="439"/>
      <c r="F72" s="439"/>
      <c r="G72" s="399"/>
      <c r="H72" s="399"/>
      <c r="I72" s="399"/>
      <c r="J72" s="615"/>
      <c r="K72" s="53"/>
      <c r="L72" s="30"/>
      <c r="M72" s="65"/>
      <c r="N72" s="65"/>
      <c r="O72" s="69"/>
      <c r="P72" s="357"/>
      <c r="Q72" s="57"/>
      <c r="R72" s="16"/>
      <c r="S72" s="57"/>
    </row>
    <row r="73" spans="1:19" s="2" customFormat="1" ht="12.75" customHeight="1">
      <c r="A73" s="124"/>
      <c r="B73" s="589" t="s">
        <v>351</v>
      </c>
      <c r="C73" s="586">
        <v>40000</v>
      </c>
      <c r="D73" s="565">
        <v>40000</v>
      </c>
      <c r="E73" s="566">
        <f>C73</f>
        <v>40000</v>
      </c>
      <c r="F73" s="566">
        <v>40000</v>
      </c>
      <c r="G73" s="565">
        <v>60000</v>
      </c>
      <c r="H73" s="565"/>
      <c r="I73" s="565"/>
      <c r="J73" s="608">
        <f>60000-30000</f>
        <v>30000</v>
      </c>
      <c r="K73" s="26"/>
      <c r="L73" s="53"/>
      <c r="M73" s="65"/>
      <c r="N73" s="65"/>
      <c r="O73" s="69"/>
      <c r="P73" s="357"/>
      <c r="Q73" s="57"/>
      <c r="R73" s="16">
        <f t="shared" si="2"/>
        <v>30000</v>
      </c>
      <c r="S73" s="57"/>
    </row>
    <row r="74" spans="1:19" s="2" customFormat="1" ht="12.75" customHeight="1">
      <c r="A74" s="124"/>
      <c r="B74" s="590" t="s">
        <v>265</v>
      </c>
      <c r="C74" s="586">
        <v>40000</v>
      </c>
      <c r="D74" s="565">
        <v>40000</v>
      </c>
      <c r="E74" s="566">
        <v>10155</v>
      </c>
      <c r="F74" s="566">
        <v>10155</v>
      </c>
      <c r="G74" s="565">
        <v>25000</v>
      </c>
      <c r="H74" s="565"/>
      <c r="I74" s="565"/>
      <c r="J74" s="608">
        <v>10000</v>
      </c>
      <c r="K74" s="26"/>
      <c r="L74" s="53"/>
      <c r="M74" s="65"/>
      <c r="N74" s="65"/>
      <c r="O74" s="69"/>
      <c r="P74" s="357"/>
      <c r="Q74" s="57"/>
      <c r="R74" s="16">
        <f t="shared" si="2"/>
        <v>10000</v>
      </c>
      <c r="S74" s="57"/>
    </row>
    <row r="75" spans="1:19" s="2" customFormat="1" ht="12.75" customHeight="1">
      <c r="A75" s="124"/>
      <c r="B75" s="590" t="s">
        <v>270</v>
      </c>
      <c r="C75" s="586">
        <v>120000</v>
      </c>
      <c r="D75" s="565">
        <v>135000</v>
      </c>
      <c r="E75" s="566">
        <v>114932</v>
      </c>
      <c r="F75" s="566">
        <v>114932</v>
      </c>
      <c r="G75" s="565">
        <v>130000</v>
      </c>
      <c r="H75" s="565"/>
      <c r="I75" s="565"/>
      <c r="J75" s="608">
        <v>130000</v>
      </c>
      <c r="K75" s="26"/>
      <c r="L75" s="53"/>
      <c r="M75" s="65"/>
      <c r="N75" s="65"/>
      <c r="O75" s="69"/>
      <c r="P75" s="357"/>
      <c r="Q75" s="57"/>
      <c r="R75" s="16">
        <f t="shared" si="2"/>
        <v>130000</v>
      </c>
      <c r="S75" s="57"/>
    </row>
    <row r="76" spans="1:19" s="2" customFormat="1" ht="12.75" customHeight="1">
      <c r="A76" s="124"/>
      <c r="B76" s="590" t="s">
        <v>271</v>
      </c>
      <c r="C76" s="586">
        <v>60000</v>
      </c>
      <c r="D76" s="565">
        <v>60000</v>
      </c>
      <c r="E76" s="566">
        <v>20796</v>
      </c>
      <c r="F76" s="566">
        <v>20796</v>
      </c>
      <c r="G76" s="565">
        <v>30000</v>
      </c>
      <c r="H76" s="565"/>
      <c r="I76" s="565"/>
      <c r="J76" s="608">
        <v>30000</v>
      </c>
      <c r="K76" s="26"/>
      <c r="L76" s="53"/>
      <c r="M76" s="65"/>
      <c r="N76" s="65"/>
      <c r="O76" s="69"/>
      <c r="P76" s="357"/>
      <c r="Q76" s="57"/>
      <c r="R76" s="16">
        <f t="shared" si="2"/>
        <v>30000</v>
      </c>
      <c r="S76" s="57"/>
    </row>
    <row r="77" spans="1:19" s="2" customFormat="1" ht="12.75" customHeight="1">
      <c r="A77" s="124"/>
      <c r="B77" s="590" t="s">
        <v>297</v>
      </c>
      <c r="C77" s="586"/>
      <c r="D77" s="565">
        <v>20000</v>
      </c>
      <c r="E77" s="439"/>
      <c r="F77" s="439"/>
      <c r="G77" s="399"/>
      <c r="H77" s="399"/>
      <c r="I77" s="399"/>
      <c r="J77" s="615"/>
      <c r="K77" s="26"/>
      <c r="L77" s="53"/>
      <c r="M77" s="65"/>
      <c r="N77" s="65"/>
      <c r="O77" s="69"/>
      <c r="P77" s="357"/>
      <c r="Q77" s="57"/>
      <c r="R77" s="16"/>
      <c r="S77" s="57"/>
    </row>
    <row r="78" spans="1:19" s="2" customFormat="1" ht="12.75" customHeight="1">
      <c r="A78" s="124"/>
      <c r="B78" s="590" t="s">
        <v>272</v>
      </c>
      <c r="C78" s="586">
        <v>15000</v>
      </c>
      <c r="D78" s="565">
        <v>15000</v>
      </c>
      <c r="E78" s="566">
        <v>14881</v>
      </c>
      <c r="F78" s="566">
        <v>14881</v>
      </c>
      <c r="G78" s="565">
        <v>15000</v>
      </c>
      <c r="H78" s="565"/>
      <c r="I78" s="565"/>
      <c r="J78" s="608">
        <v>15000</v>
      </c>
      <c r="K78" s="26"/>
      <c r="L78" s="53"/>
      <c r="M78" s="65"/>
      <c r="N78" s="65"/>
      <c r="O78" s="69"/>
      <c r="P78" s="357"/>
      <c r="Q78" s="57"/>
      <c r="R78" s="16">
        <f t="shared" si="2"/>
        <v>15000</v>
      </c>
      <c r="S78" s="57"/>
    </row>
    <row r="79" spans="1:19" s="2" customFormat="1" ht="12.75" customHeight="1">
      <c r="A79" s="124"/>
      <c r="B79" s="590" t="s">
        <v>273</v>
      </c>
      <c r="C79" s="586"/>
      <c r="D79" s="565">
        <v>45000</v>
      </c>
      <c r="E79" s="439"/>
      <c r="F79" s="439"/>
      <c r="G79" s="399"/>
      <c r="H79" s="399"/>
      <c r="I79" s="399"/>
      <c r="J79" s="615"/>
      <c r="K79" s="26"/>
      <c r="L79" s="53"/>
      <c r="M79" s="65"/>
      <c r="N79" s="65"/>
      <c r="O79" s="69"/>
      <c r="P79" s="357"/>
      <c r="Q79" s="57"/>
      <c r="R79" s="16"/>
      <c r="S79" s="57"/>
    </row>
    <row r="80" spans="1:19" s="2" customFormat="1" ht="12.75" customHeight="1">
      <c r="A80" s="124"/>
      <c r="B80" s="590" t="s">
        <v>274</v>
      </c>
      <c r="C80" s="586">
        <v>50000</v>
      </c>
      <c r="D80" s="565">
        <v>20000</v>
      </c>
      <c r="E80" s="566">
        <v>7767</v>
      </c>
      <c r="F80" s="566">
        <v>7767</v>
      </c>
      <c r="G80" s="565">
        <v>20000</v>
      </c>
      <c r="H80" s="565"/>
      <c r="I80" s="565"/>
      <c r="J80" s="608">
        <v>20000</v>
      </c>
      <c r="K80" s="26"/>
      <c r="L80" s="53"/>
      <c r="M80" s="65"/>
      <c r="N80" s="65"/>
      <c r="O80" s="69"/>
      <c r="P80" s="357"/>
      <c r="Q80" s="57"/>
      <c r="R80" s="16">
        <f t="shared" si="2"/>
        <v>20000</v>
      </c>
      <c r="S80" s="57"/>
    </row>
    <row r="81" spans="1:19" s="2" customFormat="1" ht="12.75" customHeight="1">
      <c r="A81" s="124"/>
      <c r="B81" s="590" t="s">
        <v>275</v>
      </c>
      <c r="C81" s="581">
        <v>30000</v>
      </c>
      <c r="D81" s="582">
        <v>30000</v>
      </c>
      <c r="E81" s="583">
        <f>C81</f>
        <v>30000</v>
      </c>
      <c r="F81" s="583">
        <v>30000</v>
      </c>
      <c r="G81" s="582">
        <v>20000</v>
      </c>
      <c r="H81" s="582"/>
      <c r="I81" s="565"/>
      <c r="J81" s="608">
        <v>20000</v>
      </c>
      <c r="K81" s="26"/>
      <c r="L81" s="53"/>
      <c r="M81" s="65"/>
      <c r="N81" s="65"/>
      <c r="O81" s="69"/>
      <c r="P81" s="357"/>
      <c r="Q81" s="57"/>
      <c r="R81" s="16">
        <f t="shared" si="2"/>
        <v>20000</v>
      </c>
      <c r="S81" s="57"/>
    </row>
    <row r="82" spans="1:19" s="2" customFormat="1" ht="12.75" customHeight="1">
      <c r="A82" s="124"/>
      <c r="B82" s="590" t="s">
        <v>276</v>
      </c>
      <c r="C82" s="581">
        <v>80000</v>
      </c>
      <c r="D82" s="582">
        <v>75000</v>
      </c>
      <c r="E82" s="583">
        <v>184524</v>
      </c>
      <c r="F82" s="583">
        <v>184524</v>
      </c>
      <c r="G82" s="582">
        <v>280000</v>
      </c>
      <c r="H82" s="582"/>
      <c r="I82" s="565"/>
      <c r="J82" s="608">
        <f>220000-20000</f>
        <v>200000</v>
      </c>
      <c r="K82" s="26"/>
      <c r="L82" s="53"/>
      <c r="M82" s="65"/>
      <c r="N82" s="65"/>
      <c r="O82" s="69"/>
      <c r="P82" s="357"/>
      <c r="Q82" s="57"/>
      <c r="R82" s="16">
        <f t="shared" si="2"/>
        <v>200000</v>
      </c>
      <c r="S82" s="57"/>
    </row>
    <row r="83" spans="1:19" s="2" customFormat="1" ht="12.75" customHeight="1">
      <c r="A83" s="124"/>
      <c r="B83" s="579" t="s">
        <v>178</v>
      </c>
      <c r="C83" s="576"/>
      <c r="D83" s="620"/>
      <c r="E83" s="578">
        <v>50000</v>
      </c>
      <c r="F83" s="578">
        <v>50000</v>
      </c>
      <c r="G83" s="620"/>
      <c r="H83" s="620"/>
      <c r="I83" s="399"/>
      <c r="J83" s="615"/>
      <c r="K83" s="26"/>
      <c r="L83" s="53"/>
      <c r="M83" s="65"/>
      <c r="N83" s="65"/>
      <c r="O83" s="69"/>
      <c r="P83" s="357"/>
      <c r="Q83" s="57"/>
      <c r="R83" s="16"/>
      <c r="S83" s="57"/>
    </row>
    <row r="84" spans="1:19" s="2" customFormat="1" ht="12.75" customHeight="1">
      <c r="A84" s="124"/>
      <c r="B84" s="584" t="s">
        <v>277</v>
      </c>
      <c r="C84" s="581">
        <v>50000</v>
      </c>
      <c r="D84" s="582"/>
      <c r="E84" s="583">
        <f>C84</f>
        <v>50000</v>
      </c>
      <c r="F84" s="583">
        <v>50000</v>
      </c>
      <c r="G84" s="582">
        <v>50000</v>
      </c>
      <c r="H84" s="582"/>
      <c r="I84" s="565"/>
      <c r="J84" s="608">
        <v>50000</v>
      </c>
      <c r="K84" s="26"/>
      <c r="L84" s="53"/>
      <c r="M84" s="65"/>
      <c r="N84" s="65"/>
      <c r="O84" s="69"/>
      <c r="P84" s="357"/>
      <c r="Q84" s="57"/>
      <c r="R84" s="16">
        <f t="shared" si="2"/>
        <v>50000</v>
      </c>
      <c r="S84" s="57"/>
    </row>
    <row r="85" spans="1:19" s="2" customFormat="1" ht="12.75" customHeight="1">
      <c r="A85" s="124"/>
      <c r="B85" s="584" t="s">
        <v>278</v>
      </c>
      <c r="C85" s="581"/>
      <c r="D85" s="582"/>
      <c r="E85" s="583"/>
      <c r="F85" s="583"/>
      <c r="G85" s="582">
        <v>50000</v>
      </c>
      <c r="H85" s="582"/>
      <c r="I85" s="565"/>
      <c r="J85" s="608">
        <v>30000</v>
      </c>
      <c r="K85" s="26"/>
      <c r="L85" s="53"/>
      <c r="M85" s="65"/>
      <c r="N85" s="65"/>
      <c r="O85" s="69"/>
      <c r="P85" s="357"/>
      <c r="Q85" s="57"/>
      <c r="R85" s="16">
        <f t="shared" si="2"/>
        <v>30000</v>
      </c>
      <c r="S85" s="57"/>
    </row>
    <row r="86" spans="1:19" s="2" customFormat="1" ht="12.75" customHeight="1">
      <c r="A86" s="124"/>
      <c r="B86" s="584" t="s">
        <v>279</v>
      </c>
      <c r="C86" s="581">
        <v>20000</v>
      </c>
      <c r="D86" s="582">
        <v>20000</v>
      </c>
      <c r="E86" s="583">
        <f>C86</f>
        <v>20000</v>
      </c>
      <c r="F86" s="583">
        <v>20000</v>
      </c>
      <c r="G86" s="620"/>
      <c r="H86" s="620"/>
      <c r="I86" s="399"/>
      <c r="J86" s="615"/>
      <c r="K86" s="26"/>
      <c r="L86" s="53"/>
      <c r="M86" s="65"/>
      <c r="N86" s="65"/>
      <c r="O86" s="69"/>
      <c r="P86" s="357"/>
      <c r="Q86" s="57"/>
      <c r="R86" s="16"/>
      <c r="S86" s="57"/>
    </row>
    <row r="87" spans="1:19" s="2" customFormat="1" ht="12.75" customHeight="1">
      <c r="A87" s="124"/>
      <c r="B87" s="584" t="s">
        <v>280</v>
      </c>
      <c r="C87" s="581">
        <v>370000</v>
      </c>
      <c r="D87" s="582">
        <v>207999</v>
      </c>
      <c r="E87" s="583">
        <f>C87</f>
        <v>370000</v>
      </c>
      <c r="F87" s="583">
        <v>370000</v>
      </c>
      <c r="G87" s="582">
        <v>370000</v>
      </c>
      <c r="H87" s="582"/>
      <c r="I87" s="565"/>
      <c r="J87" s="608">
        <v>270000</v>
      </c>
      <c r="K87" s="26"/>
      <c r="L87" s="53"/>
      <c r="M87" s="65"/>
      <c r="N87" s="65"/>
      <c r="O87" s="69"/>
      <c r="P87" s="357"/>
      <c r="Q87" s="57"/>
      <c r="R87" s="16">
        <f t="shared" si="2"/>
        <v>270000</v>
      </c>
      <c r="S87" s="57"/>
    </row>
    <row r="88" spans="1:19" s="2" customFormat="1" ht="12.75" customHeight="1">
      <c r="A88" s="124"/>
      <c r="B88" s="584" t="s">
        <v>281</v>
      </c>
      <c r="C88" s="581">
        <v>20000</v>
      </c>
      <c r="D88" s="582">
        <v>8000</v>
      </c>
      <c r="E88" s="583">
        <v>0</v>
      </c>
      <c r="F88" s="583">
        <v>0</v>
      </c>
      <c r="G88" s="582">
        <v>20000</v>
      </c>
      <c r="H88" s="582"/>
      <c r="I88" s="565"/>
      <c r="J88" s="608">
        <v>20000</v>
      </c>
      <c r="K88" s="26"/>
      <c r="L88" s="53"/>
      <c r="M88" s="65"/>
      <c r="N88" s="65"/>
      <c r="O88" s="69"/>
      <c r="P88" s="357"/>
      <c r="Q88" s="57"/>
      <c r="R88" s="16">
        <f t="shared" si="2"/>
        <v>20000</v>
      </c>
      <c r="S88" s="57"/>
    </row>
    <row r="89" spans="1:19" s="2" customFormat="1" ht="12.75" customHeight="1">
      <c r="A89" s="124"/>
      <c r="B89" s="584" t="s">
        <v>282</v>
      </c>
      <c r="C89" s="581">
        <v>50000</v>
      </c>
      <c r="D89" s="582">
        <v>12001</v>
      </c>
      <c r="E89" s="583">
        <v>34336</v>
      </c>
      <c r="F89" s="583">
        <v>34336</v>
      </c>
      <c r="G89" s="582">
        <v>50000</v>
      </c>
      <c r="H89" s="582"/>
      <c r="I89" s="565"/>
      <c r="J89" s="608">
        <f>50000-5000</f>
        <v>45000</v>
      </c>
      <c r="K89" s="26"/>
      <c r="L89" s="53"/>
      <c r="M89" s="65"/>
      <c r="N89" s="65"/>
      <c r="O89" s="69"/>
      <c r="P89" s="357"/>
      <c r="Q89" s="57"/>
      <c r="R89" s="16">
        <f t="shared" si="2"/>
        <v>45000</v>
      </c>
      <c r="S89" s="57"/>
    </row>
    <row r="90" spans="1:19" s="2" customFormat="1" ht="12.75" customHeight="1">
      <c r="A90" s="124"/>
      <c r="B90" s="579" t="s">
        <v>183</v>
      </c>
      <c r="C90" s="576"/>
      <c r="D90" s="620"/>
      <c r="E90" s="578">
        <v>10000</v>
      </c>
      <c r="F90" s="578">
        <v>10000</v>
      </c>
      <c r="G90" s="620"/>
      <c r="H90" s="620"/>
      <c r="I90" s="399"/>
      <c r="J90" s="615"/>
      <c r="K90" s="26"/>
      <c r="L90" s="53"/>
      <c r="M90" s="65"/>
      <c r="N90" s="65"/>
      <c r="O90" s="69"/>
      <c r="P90" s="357"/>
      <c r="Q90" s="57"/>
      <c r="R90" s="16"/>
      <c r="S90" s="57"/>
    </row>
    <row r="91" spans="1:19" s="2" customFormat="1" ht="12.75" customHeight="1">
      <c r="A91" s="124"/>
      <c r="B91" s="584" t="s">
        <v>327</v>
      </c>
      <c r="C91" s="581">
        <v>20000</v>
      </c>
      <c r="D91" s="582">
        <v>20000</v>
      </c>
      <c r="E91" s="583">
        <f>C91</f>
        <v>20000</v>
      </c>
      <c r="F91" s="583">
        <v>20000</v>
      </c>
      <c r="G91" s="582">
        <v>20000</v>
      </c>
      <c r="H91" s="582"/>
      <c r="I91" s="565"/>
      <c r="J91" s="608">
        <v>10000</v>
      </c>
      <c r="K91" s="26"/>
      <c r="L91" s="53"/>
      <c r="M91" s="65"/>
      <c r="N91" s="65"/>
      <c r="O91" s="69"/>
      <c r="P91" s="357"/>
      <c r="Q91" s="57"/>
      <c r="R91" s="16">
        <f t="shared" si="2"/>
        <v>10000</v>
      </c>
      <c r="S91" s="57"/>
    </row>
    <row r="92" spans="1:19" s="2" customFormat="1" ht="12.75" customHeight="1">
      <c r="A92" s="124"/>
      <c r="B92" s="584" t="s">
        <v>321</v>
      </c>
      <c r="C92" s="581"/>
      <c r="D92" s="582"/>
      <c r="E92" s="583"/>
      <c r="F92" s="583"/>
      <c r="G92" s="582">
        <v>210000</v>
      </c>
      <c r="H92" s="582"/>
      <c r="I92" s="587"/>
      <c r="J92" s="608">
        <v>100000</v>
      </c>
      <c r="K92" s="26"/>
      <c r="L92" s="53"/>
      <c r="M92" s="65"/>
      <c r="N92" s="65"/>
      <c r="O92" s="69"/>
      <c r="P92" s="357"/>
      <c r="Q92" s="57"/>
      <c r="R92" s="16">
        <f>J92</f>
        <v>100000</v>
      </c>
      <c r="S92" s="57"/>
    </row>
    <row r="93" spans="1:19" s="2" customFormat="1" ht="12.75" customHeight="1">
      <c r="A93" s="124"/>
      <c r="B93" s="584" t="s">
        <v>320</v>
      </c>
      <c r="C93" s="581"/>
      <c r="D93" s="582"/>
      <c r="E93" s="594">
        <v>40000</v>
      </c>
      <c r="F93" s="594">
        <v>40000</v>
      </c>
      <c r="G93" s="582">
        <v>50000</v>
      </c>
      <c r="H93" s="582"/>
      <c r="I93" s="587"/>
      <c r="J93" s="608">
        <v>50000</v>
      </c>
      <c r="K93" s="26"/>
      <c r="L93" s="53"/>
      <c r="M93" s="65"/>
      <c r="N93" s="65"/>
      <c r="O93" s="69"/>
      <c r="P93" s="357"/>
      <c r="Q93" s="57"/>
      <c r="R93" s="16">
        <f>J93</f>
        <v>50000</v>
      </c>
      <c r="S93" s="57"/>
    </row>
    <row r="94" spans="1:19" s="2" customFormat="1" ht="12.75" customHeight="1">
      <c r="A94" s="124"/>
      <c r="B94" s="579" t="s">
        <v>312</v>
      </c>
      <c r="C94" s="576"/>
      <c r="D94" s="620"/>
      <c r="E94" s="621">
        <v>15000</v>
      </c>
      <c r="F94" s="621">
        <v>15000</v>
      </c>
      <c r="G94" s="620"/>
      <c r="H94" s="620"/>
      <c r="I94" s="622"/>
      <c r="J94" s="615"/>
      <c r="K94" s="26"/>
      <c r="L94" s="53"/>
      <c r="M94" s="65"/>
      <c r="N94" s="65"/>
      <c r="O94" s="69"/>
      <c r="P94" s="357"/>
      <c r="Q94" s="57"/>
      <c r="R94" s="16"/>
      <c r="S94" s="57"/>
    </row>
    <row r="95" spans="1:19" s="2" customFormat="1" ht="12.75" customHeight="1">
      <c r="A95" s="124"/>
      <c r="B95" s="584" t="s">
        <v>284</v>
      </c>
      <c r="C95" s="581"/>
      <c r="D95" s="582"/>
      <c r="E95" s="594"/>
      <c r="F95" s="594"/>
      <c r="G95" s="582"/>
      <c r="H95" s="582"/>
      <c r="I95" s="587"/>
      <c r="J95" s="608"/>
      <c r="K95" s="26"/>
      <c r="L95" s="53"/>
      <c r="M95" s="65"/>
      <c r="N95" s="65"/>
      <c r="O95" s="69"/>
      <c r="P95" s="357"/>
      <c r="Q95" s="57"/>
      <c r="R95" s="16">
        <f t="shared" si="2"/>
        <v>0</v>
      </c>
      <c r="S95" s="57"/>
    </row>
    <row r="96" spans="1:19" s="2" customFormat="1" ht="12.75" customHeight="1">
      <c r="A96" s="124"/>
      <c r="B96" s="625" t="s">
        <v>256</v>
      </c>
      <c r="C96" s="624"/>
      <c r="D96" s="626"/>
      <c r="E96" s="627"/>
      <c r="F96" s="627"/>
      <c r="G96" s="626"/>
      <c r="H96" s="626"/>
      <c r="I96" s="626"/>
      <c r="J96" s="628">
        <v>250000</v>
      </c>
      <c r="K96" s="26"/>
      <c r="L96" s="53"/>
      <c r="M96" s="65"/>
      <c r="N96" s="65"/>
      <c r="O96" s="69"/>
      <c r="P96" s="357"/>
      <c r="Q96" s="57"/>
      <c r="R96" s="16">
        <f t="shared" si="2"/>
        <v>250000</v>
      </c>
      <c r="S96" s="57"/>
    </row>
    <row r="97" spans="1:19" s="2" customFormat="1" ht="12.75" customHeight="1">
      <c r="A97" s="124"/>
      <c r="B97" s="584" t="s">
        <v>285</v>
      </c>
      <c r="C97" s="581"/>
      <c r="D97" s="582"/>
      <c r="E97" s="594"/>
      <c r="F97" s="594"/>
      <c r="G97" s="582">
        <v>90000</v>
      </c>
      <c r="H97" s="620"/>
      <c r="I97" s="622"/>
      <c r="J97" s="615"/>
      <c r="K97" s="26"/>
      <c r="L97" s="53"/>
      <c r="M97" s="65"/>
      <c r="N97" s="65"/>
      <c r="O97" s="69"/>
      <c r="P97" s="357"/>
      <c r="Q97" s="57"/>
      <c r="R97" s="16">
        <f t="shared" si="2"/>
        <v>0</v>
      </c>
      <c r="S97" s="57"/>
    </row>
    <row r="98" spans="1:19" s="2" customFormat="1" ht="12.75" customHeight="1">
      <c r="A98" s="124"/>
      <c r="B98" s="584" t="s">
        <v>319</v>
      </c>
      <c r="C98" s="581"/>
      <c r="D98" s="582"/>
      <c r="E98" s="594"/>
      <c r="F98" s="594"/>
      <c r="G98" s="582">
        <v>50000</v>
      </c>
      <c r="H98" s="582"/>
      <c r="I98" s="587"/>
      <c r="J98" s="608">
        <v>50000</v>
      </c>
      <c r="K98" s="26"/>
      <c r="L98" s="53"/>
      <c r="M98" s="65"/>
      <c r="N98" s="65"/>
      <c r="O98" s="69"/>
      <c r="P98" s="357"/>
      <c r="Q98" s="57"/>
      <c r="R98" s="16">
        <f t="shared" si="2"/>
        <v>50000</v>
      </c>
      <c r="S98" s="57"/>
    </row>
    <row r="99" spans="1:19" s="2" customFormat="1" ht="12.75" customHeight="1">
      <c r="A99" s="124"/>
      <c r="B99" s="625" t="s">
        <v>326</v>
      </c>
      <c r="C99" s="624"/>
      <c r="D99" s="626"/>
      <c r="E99" s="627"/>
      <c r="F99" s="627"/>
      <c r="G99" s="626"/>
      <c r="H99" s="626"/>
      <c r="I99" s="626"/>
      <c r="J99" s="628">
        <v>20000</v>
      </c>
      <c r="K99" s="26"/>
      <c r="L99" s="53"/>
      <c r="M99" s="65"/>
      <c r="N99" s="65"/>
      <c r="O99" s="69"/>
      <c r="P99" s="357"/>
      <c r="Q99" s="57"/>
      <c r="R99" s="16">
        <f t="shared" si="2"/>
        <v>20000</v>
      </c>
      <c r="S99" s="57"/>
    </row>
    <row r="100" spans="1:19" s="2" customFormat="1" ht="12.75" customHeight="1">
      <c r="A100" s="124"/>
      <c r="B100" s="625" t="s">
        <v>328</v>
      </c>
      <c r="C100" s="624"/>
      <c r="D100" s="626"/>
      <c r="E100" s="627"/>
      <c r="F100" s="627"/>
      <c r="G100" s="626"/>
      <c r="H100" s="626"/>
      <c r="I100" s="626"/>
      <c r="J100" s="628">
        <v>10000</v>
      </c>
      <c r="K100" s="4"/>
      <c r="L100" s="53"/>
      <c r="M100" s="65"/>
      <c r="N100" s="65"/>
      <c r="O100" s="69"/>
      <c r="P100" s="357"/>
      <c r="Q100" s="57"/>
      <c r="R100" s="16">
        <f t="shared" si="2"/>
        <v>10000</v>
      </c>
      <c r="S100" s="57"/>
    </row>
    <row r="101" spans="1:19" s="2" customFormat="1" ht="12.75" customHeight="1">
      <c r="A101" s="124"/>
      <c r="B101" s="579" t="s">
        <v>323</v>
      </c>
      <c r="C101" s="576"/>
      <c r="D101" s="577">
        <f>130000+90000+30000+100000+57000+393700+15000</f>
        <v>815700</v>
      </c>
      <c r="E101" s="578"/>
      <c r="F101" s="578">
        <v>155382</v>
      </c>
      <c r="G101" s="577"/>
      <c r="H101" s="577"/>
      <c r="I101" s="406"/>
      <c r="J101" s="602">
        <v>0</v>
      </c>
      <c r="K101" s="26"/>
      <c r="L101" s="53"/>
      <c r="M101" s="65"/>
      <c r="N101" s="65"/>
      <c r="O101" s="69"/>
      <c r="P101" s="357"/>
      <c r="Q101" s="57"/>
      <c r="R101" s="16"/>
      <c r="S101" s="57"/>
    </row>
    <row r="102" spans="1:19" s="2" customFormat="1" ht="12.75" customHeight="1">
      <c r="A102" s="124"/>
      <c r="B102" s="579"/>
      <c r="C102" s="576"/>
      <c r="D102" s="577"/>
      <c r="E102" s="578"/>
      <c r="F102" s="578"/>
      <c r="G102" s="577"/>
      <c r="H102" s="577"/>
      <c r="I102" s="398"/>
      <c r="J102" s="602"/>
      <c r="K102" s="26"/>
      <c r="L102" s="53"/>
      <c r="M102" s="65"/>
      <c r="N102" s="65"/>
      <c r="O102" s="69"/>
      <c r="P102" s="357"/>
      <c r="Q102" s="57"/>
      <c r="R102" s="16"/>
      <c r="S102" s="57"/>
    </row>
    <row r="103" spans="1:19" s="2" customFormat="1" ht="12.75" customHeight="1">
      <c r="A103" s="124"/>
      <c r="B103" s="579"/>
      <c r="C103" s="429"/>
      <c r="D103" s="406"/>
      <c r="E103" s="441"/>
      <c r="F103" s="441"/>
      <c r="G103" s="406"/>
      <c r="H103" s="406"/>
      <c r="I103" s="406"/>
      <c r="J103" s="602"/>
      <c r="K103" s="26"/>
      <c r="L103" s="53"/>
      <c r="M103" s="65"/>
      <c r="N103" s="65"/>
      <c r="O103" s="69"/>
      <c r="P103" s="357"/>
      <c r="Q103" s="57"/>
      <c r="R103" s="16"/>
      <c r="S103" s="57"/>
    </row>
    <row r="104" spans="1:19" s="2" customFormat="1" ht="12.75" customHeight="1">
      <c r="A104" s="124"/>
      <c r="B104" s="579"/>
      <c r="C104" s="429"/>
      <c r="D104" s="406"/>
      <c r="E104" s="441"/>
      <c r="F104" s="441"/>
      <c r="G104" s="406"/>
      <c r="H104" s="406"/>
      <c r="I104" s="406"/>
      <c r="J104" s="602"/>
      <c r="K104" s="26"/>
      <c r="L104" s="53"/>
      <c r="M104" s="65"/>
      <c r="N104" s="65"/>
      <c r="O104" s="69"/>
      <c r="P104" s="357"/>
      <c r="Q104" s="57"/>
      <c r="R104" s="16"/>
      <c r="S104" s="57"/>
    </row>
    <row r="105" spans="1:19" s="2" customFormat="1" ht="12.75" customHeight="1">
      <c r="A105" s="124"/>
      <c r="B105" s="579"/>
      <c r="C105" s="429"/>
      <c r="D105" s="406"/>
      <c r="E105" s="441"/>
      <c r="F105" s="441"/>
      <c r="G105" s="406"/>
      <c r="H105" s="406"/>
      <c r="I105" s="406"/>
      <c r="J105" s="602"/>
      <c r="K105" s="26"/>
      <c r="L105" s="53"/>
      <c r="M105" s="65"/>
      <c r="N105" s="65"/>
      <c r="O105" s="69"/>
      <c r="P105" s="357"/>
      <c r="Q105" s="57"/>
      <c r="R105" s="16"/>
      <c r="S105" s="57"/>
    </row>
    <row r="106" spans="1:19" s="108" customFormat="1" ht="12.75" customHeight="1" thickBot="1">
      <c r="A106" s="284"/>
      <c r="B106" s="591" t="s">
        <v>53</v>
      </c>
      <c r="C106" s="446">
        <v>68000</v>
      </c>
      <c r="D106" s="443">
        <v>68067</v>
      </c>
      <c r="E106" s="442">
        <v>68000</v>
      </c>
      <c r="F106" s="442"/>
      <c r="G106" s="443"/>
      <c r="H106" s="443"/>
      <c r="I106" s="443"/>
      <c r="J106" s="603"/>
      <c r="K106" s="26"/>
      <c r="L106" s="53"/>
      <c r="M106" s="81"/>
      <c r="N106" s="81"/>
      <c r="O106" s="70"/>
      <c r="P106" s="364"/>
      <c r="Q106" s="57"/>
      <c r="R106" s="16"/>
      <c r="S106" s="57"/>
    </row>
    <row r="107" spans="1:19" s="11" customFormat="1" ht="14.25" thickBot="1">
      <c r="A107" s="124"/>
      <c r="B107" s="447" t="s">
        <v>13</v>
      </c>
      <c r="C107" s="178">
        <f>SUM(C59:C106)</f>
        <v>12493975</v>
      </c>
      <c r="D107" s="365">
        <f>SUM(D59:D106)</f>
        <v>12314901</v>
      </c>
      <c r="E107" s="435">
        <f>SUM(E59:E106)</f>
        <v>12888766</v>
      </c>
      <c r="F107" s="435">
        <f>SUM(F59:F106)</f>
        <v>12988703</v>
      </c>
      <c r="G107" s="365">
        <f>SUM(G59:G106)</f>
        <v>13681193</v>
      </c>
      <c r="H107" s="365"/>
      <c r="I107" s="365">
        <f>SUM(I59:I106)</f>
        <v>0</v>
      </c>
      <c r="J107" s="365">
        <f>SUM(J59:J106)</f>
        <v>14833046</v>
      </c>
      <c r="K107" s="56"/>
      <c r="L107" s="56"/>
      <c r="M107" s="82"/>
      <c r="N107" s="82"/>
      <c r="O107" s="83"/>
      <c r="P107" s="359"/>
      <c r="Q107" s="52"/>
      <c r="R107" s="501">
        <f>SUM(R65:R106)</f>
        <v>2440000</v>
      </c>
      <c r="S107" s="134"/>
    </row>
    <row r="108" spans="1:19" s="11" customFormat="1" ht="9" customHeight="1" thickBot="1">
      <c r="A108" s="124"/>
      <c r="B108" s="327"/>
      <c r="C108" s="366"/>
      <c r="D108" s="367"/>
      <c r="E108" s="5"/>
      <c r="F108" s="5"/>
      <c r="G108" s="367"/>
      <c r="H108" s="367"/>
      <c r="I108" s="367"/>
      <c r="J108" s="609"/>
      <c r="K108" s="56"/>
      <c r="L108" s="56"/>
      <c r="M108" s="82"/>
      <c r="N108" s="82"/>
      <c r="O108" s="83"/>
      <c r="P108" s="124"/>
      <c r="Q108" s="52"/>
      <c r="R108" s="16"/>
      <c r="S108" s="134"/>
    </row>
    <row r="109" spans="1:19" s="11" customFormat="1" ht="15" thickBot="1" thickTop="1">
      <c r="A109" s="124"/>
      <c r="B109" s="340" t="s">
        <v>167</v>
      </c>
      <c r="C109" s="341"/>
      <c r="D109" s="343">
        <f>D107-D56</f>
        <v>-154646</v>
      </c>
      <c r="E109" s="343">
        <f>E107-E56</f>
        <v>0</v>
      </c>
      <c r="F109" s="343">
        <f>F107-F56</f>
        <v>25684</v>
      </c>
      <c r="G109" s="343">
        <f>G107-G56</f>
        <v>0</v>
      </c>
      <c r="H109" s="343"/>
      <c r="I109" s="343">
        <f>I107-I56</f>
        <v>0</v>
      </c>
      <c r="J109" s="610">
        <f>J107-J56</f>
        <v>0</v>
      </c>
      <c r="K109" s="56"/>
      <c r="L109" s="56"/>
      <c r="M109" s="82"/>
      <c r="N109" s="82"/>
      <c r="O109" s="83"/>
      <c r="P109" s="124"/>
      <c r="Q109" s="52"/>
      <c r="R109" s="16"/>
      <c r="S109" s="134"/>
    </row>
    <row r="110" spans="2:19" ht="8.25" customHeight="1" thickTop="1">
      <c r="B110" s="67"/>
      <c r="C110" s="67"/>
      <c r="D110" s="67"/>
      <c r="E110" s="67"/>
      <c r="F110" s="67"/>
      <c r="G110" s="368"/>
      <c r="H110" s="368"/>
      <c r="I110" s="368"/>
      <c r="R110" s="28"/>
      <c r="S110" s="134"/>
    </row>
    <row r="111" spans="2:19" ht="18" thickBot="1">
      <c r="B111" s="874" t="s">
        <v>14</v>
      </c>
      <c r="C111" s="874"/>
      <c r="D111" s="874"/>
      <c r="E111" s="874"/>
      <c r="F111" s="874"/>
      <c r="G111" s="874"/>
      <c r="H111" s="874"/>
      <c r="I111" s="874"/>
      <c r="J111" s="874"/>
      <c r="K111" s="874"/>
      <c r="L111" s="874"/>
      <c r="R111" s="29"/>
      <c r="S111" s="134"/>
    </row>
    <row r="112" spans="2:19" ht="15">
      <c r="B112" s="454" t="s">
        <v>0</v>
      </c>
      <c r="C112" s="93" t="s">
        <v>299</v>
      </c>
      <c r="D112" s="350" t="s">
        <v>137</v>
      </c>
      <c r="E112" s="93" t="s">
        <v>299</v>
      </c>
      <c r="F112" s="350" t="s">
        <v>137</v>
      </c>
      <c r="G112" s="93" t="s">
        <v>299</v>
      </c>
      <c r="H112" s="350"/>
      <c r="I112" s="383" t="s">
        <v>302</v>
      </c>
      <c r="J112" s="598" t="s">
        <v>165</v>
      </c>
      <c r="K112" s="9"/>
      <c r="L112" s="36"/>
      <c r="M112" s="1"/>
      <c r="N112" s="1"/>
      <c r="O112" s="41"/>
      <c r="P112" s="351" t="s">
        <v>136</v>
      </c>
      <c r="R112" s="135"/>
      <c r="S112" s="134"/>
    </row>
    <row r="113" spans="2:21" ht="15.75" thickBot="1">
      <c r="B113" s="455"/>
      <c r="C113" s="539">
        <v>2015</v>
      </c>
      <c r="D113" s="353">
        <v>2015</v>
      </c>
      <c r="E113" s="540">
        <v>2016</v>
      </c>
      <c r="F113" s="540">
        <v>2016</v>
      </c>
      <c r="G113" s="353">
        <v>2017</v>
      </c>
      <c r="H113" s="537"/>
      <c r="I113" s="418" t="s">
        <v>303</v>
      </c>
      <c r="J113" s="599" t="s">
        <v>300</v>
      </c>
      <c r="K113" s="9"/>
      <c r="L113" s="36"/>
      <c r="M113" s="1"/>
      <c r="N113" s="1"/>
      <c r="O113" s="41"/>
      <c r="P113" s="355"/>
      <c r="R113" s="29"/>
      <c r="S113" s="134"/>
      <c r="T113" s="29"/>
      <c r="U113" s="29"/>
    </row>
    <row r="114" spans="1:21" s="2" customFormat="1" ht="12.75" customHeight="1">
      <c r="A114" s="124"/>
      <c r="B114" s="456" t="s">
        <v>322</v>
      </c>
      <c r="C114" s="452">
        <v>169000</v>
      </c>
      <c r="D114" s="437">
        <v>42335</v>
      </c>
      <c r="E114" s="448">
        <v>50000</v>
      </c>
      <c r="F114" s="448">
        <v>40506</v>
      </c>
      <c r="G114" s="437">
        <v>47100</v>
      </c>
      <c r="H114" s="437"/>
      <c r="I114" s="437"/>
      <c r="J114" s="605">
        <v>45000</v>
      </c>
      <c r="K114" s="4"/>
      <c r="L114" s="30"/>
      <c r="P114" s="356"/>
      <c r="R114" s="70"/>
      <c r="S114" s="134"/>
      <c r="T114" s="70"/>
      <c r="U114" s="70"/>
    </row>
    <row r="115" spans="1:21" s="2" customFormat="1" ht="12.75" customHeight="1">
      <c r="A115" s="124"/>
      <c r="B115" s="457" t="s">
        <v>314</v>
      </c>
      <c r="C115" s="430"/>
      <c r="D115" s="398">
        <v>20088</v>
      </c>
      <c r="E115" s="397">
        <v>11000</v>
      </c>
      <c r="F115" s="397">
        <v>17147</v>
      </c>
      <c r="G115" s="398">
        <v>17300</v>
      </c>
      <c r="H115" s="398"/>
      <c r="I115" s="398"/>
      <c r="J115" s="602">
        <v>18000</v>
      </c>
      <c r="K115" s="4"/>
      <c r="L115" s="30"/>
      <c r="P115" s="357"/>
      <c r="R115" s="70"/>
      <c r="S115" s="134"/>
      <c r="T115" s="70"/>
      <c r="U115" s="70"/>
    </row>
    <row r="116" spans="1:21" s="2" customFormat="1" ht="12.75" customHeight="1">
      <c r="A116" s="124"/>
      <c r="B116" s="457" t="s">
        <v>313</v>
      </c>
      <c r="C116" s="430"/>
      <c r="D116" s="398">
        <v>88894</v>
      </c>
      <c r="E116" s="397">
        <v>108000</v>
      </c>
      <c r="F116" s="397">
        <v>93886</v>
      </c>
      <c r="G116" s="398">
        <v>113300</v>
      </c>
      <c r="H116" s="398"/>
      <c r="I116" s="398"/>
      <c r="J116" s="602">
        <v>115000</v>
      </c>
      <c r="K116" s="4"/>
      <c r="L116" s="30"/>
      <c r="P116" s="358"/>
      <c r="R116" s="70"/>
      <c r="S116" s="134"/>
      <c r="T116" s="70"/>
      <c r="U116" s="70"/>
    </row>
    <row r="117" spans="1:21" s="2" customFormat="1" ht="12.75" customHeight="1">
      <c r="A117" s="124"/>
      <c r="B117" s="458" t="s">
        <v>1</v>
      </c>
      <c r="C117" s="430">
        <v>25000</v>
      </c>
      <c r="D117" s="398">
        <v>0</v>
      </c>
      <c r="E117" s="595">
        <f>C117</f>
        <v>25000</v>
      </c>
      <c r="F117" s="595">
        <v>960</v>
      </c>
      <c r="G117" s="398">
        <v>20000</v>
      </c>
      <c r="H117" s="398"/>
      <c r="I117" s="398"/>
      <c r="J117" s="602">
        <f>20000-5000</f>
        <v>15000</v>
      </c>
      <c r="K117" s="4"/>
      <c r="L117" s="30"/>
      <c r="P117" s="357"/>
      <c r="R117" s="70"/>
      <c r="S117" s="134"/>
      <c r="T117" s="70"/>
      <c r="U117" s="70"/>
    </row>
    <row r="118" spans="1:21" s="2" customFormat="1" ht="12.75" customHeight="1">
      <c r="A118" s="124"/>
      <c r="B118" s="458" t="s">
        <v>197</v>
      </c>
      <c r="C118" s="430"/>
      <c r="D118" s="398">
        <v>5857</v>
      </c>
      <c r="E118" s="595">
        <v>197957</v>
      </c>
      <c r="F118" s="595">
        <v>197957</v>
      </c>
      <c r="G118" s="398"/>
      <c r="H118" s="398"/>
      <c r="I118" s="399"/>
      <c r="J118" s="602"/>
      <c r="K118" s="4"/>
      <c r="L118" s="30"/>
      <c r="P118" s="357"/>
      <c r="R118" s="70"/>
      <c r="S118" s="134"/>
      <c r="T118" s="70"/>
      <c r="U118" s="70"/>
    </row>
    <row r="119" spans="1:21" s="2" customFormat="1" ht="12.75" customHeight="1">
      <c r="A119" s="124"/>
      <c r="B119" s="458" t="s">
        <v>198</v>
      </c>
      <c r="C119" s="430"/>
      <c r="D119" s="398"/>
      <c r="E119" s="595"/>
      <c r="F119" s="595">
        <v>12364</v>
      </c>
      <c r="G119" s="398">
        <v>24960</v>
      </c>
      <c r="H119" s="398"/>
      <c r="I119" s="399"/>
      <c r="J119" s="602">
        <f>3275+1194+1943+1429+593+589+589+589+589+589+589+589+589+589+589+589+589+248+124+454+454+454+454+556+556+184+184+539+108+120+2011+311+311+311+311+311+311+311+311+311+19</f>
        <v>24766</v>
      </c>
      <c r="K119" s="4"/>
      <c r="L119" s="30"/>
      <c r="P119" s="357"/>
      <c r="R119" s="70"/>
      <c r="S119" s="134"/>
      <c r="T119" s="70"/>
      <c r="U119" s="70"/>
    </row>
    <row r="120" spans="1:21" s="2" customFormat="1" ht="12.75" customHeight="1">
      <c r="A120" s="124"/>
      <c r="B120" s="458" t="s">
        <v>8</v>
      </c>
      <c r="C120" s="430">
        <v>6000</v>
      </c>
      <c r="D120" s="398">
        <v>25</v>
      </c>
      <c r="E120" s="595">
        <f>C120</f>
        <v>6000</v>
      </c>
      <c r="F120" s="595">
        <v>17800</v>
      </c>
      <c r="G120" s="398">
        <v>6200</v>
      </c>
      <c r="H120" s="398"/>
      <c r="I120" s="398"/>
      <c r="J120" s="602">
        <v>7000</v>
      </c>
      <c r="K120" s="4"/>
      <c r="L120" s="26"/>
      <c r="P120" s="357"/>
      <c r="R120" s="70"/>
      <c r="S120" s="134"/>
      <c r="T120" s="70"/>
      <c r="U120" s="70"/>
    </row>
    <row r="121" spans="1:21" s="2" customFormat="1" ht="12.75" customHeight="1">
      <c r="A121" s="124"/>
      <c r="B121" s="458" t="s">
        <v>16</v>
      </c>
      <c r="C121" s="430">
        <v>95000</v>
      </c>
      <c r="D121" s="398">
        <v>56433</v>
      </c>
      <c r="E121" s="595">
        <v>235800</v>
      </c>
      <c r="F121" s="595">
        <v>205254</v>
      </c>
      <c r="G121" s="398">
        <v>280000</v>
      </c>
      <c r="H121" s="398"/>
      <c r="I121" s="398"/>
      <c r="J121" s="602">
        <f>280000-80000</f>
        <v>200000</v>
      </c>
      <c r="K121" s="4"/>
      <c r="L121" s="30"/>
      <c r="P121" s="357"/>
      <c r="R121" s="70"/>
      <c r="S121" s="134"/>
      <c r="T121" s="70"/>
      <c r="U121" s="70"/>
    </row>
    <row r="122" spans="1:21" s="2" customFormat="1" ht="12.75" customHeight="1" thickBot="1">
      <c r="A122" s="124"/>
      <c r="B122" s="549" t="s">
        <v>10</v>
      </c>
      <c r="C122" s="550">
        <v>319340</v>
      </c>
      <c r="D122" s="551">
        <v>287854</v>
      </c>
      <c r="E122" s="552">
        <v>319826</v>
      </c>
      <c r="F122" s="552">
        <v>298092</v>
      </c>
      <c r="G122" s="551">
        <v>429568</v>
      </c>
      <c r="H122" s="551"/>
      <c r="I122" s="551"/>
      <c r="J122" s="612">
        <v>556398</v>
      </c>
      <c r="K122" s="4"/>
      <c r="L122" s="30"/>
      <c r="P122" s="359"/>
      <c r="Q122" s="70"/>
      <c r="R122" s="70"/>
      <c r="S122" s="500"/>
      <c r="T122" s="70"/>
      <c r="U122" s="70"/>
    </row>
    <row r="123" spans="1:21" s="11" customFormat="1" ht="14.25" thickBot="1">
      <c r="A123" s="124"/>
      <c r="B123" s="460" t="s">
        <v>2</v>
      </c>
      <c r="C123" s="373">
        <f>SUM(C114:C122)</f>
        <v>614340</v>
      </c>
      <c r="D123" s="360">
        <f>SUM(D114:D122)</f>
        <v>501486</v>
      </c>
      <c r="E123" s="371">
        <f>SUM(E114:E122)</f>
        <v>953583</v>
      </c>
      <c r="F123" s="371">
        <f>SUM(F114:F122)</f>
        <v>883966</v>
      </c>
      <c r="G123" s="360">
        <f>SUM(G114:G122)</f>
        <v>938428</v>
      </c>
      <c r="H123" s="372"/>
      <c r="I123" s="372">
        <f>SUM(I114:I122)</f>
        <v>0</v>
      </c>
      <c r="J123" s="384">
        <f>SUM(J114:J122)</f>
        <v>981164</v>
      </c>
      <c r="K123" s="56"/>
      <c r="L123" s="35"/>
      <c r="P123" s="124"/>
      <c r="Q123" s="16"/>
      <c r="R123" s="52"/>
      <c r="S123" s="500"/>
      <c r="T123" s="52"/>
      <c r="U123" s="52"/>
    </row>
    <row r="124" spans="2:21" ht="15.75" thickBot="1">
      <c r="B124" s="3"/>
      <c r="C124" s="17"/>
      <c r="D124" s="17"/>
      <c r="E124" s="22"/>
      <c r="F124" s="22"/>
      <c r="G124" s="362"/>
      <c r="H124" s="362"/>
      <c r="I124" s="362"/>
      <c r="J124" s="348"/>
      <c r="K124" s="15"/>
      <c r="L124" s="18"/>
      <c r="Q124" s="16"/>
      <c r="R124" s="29"/>
      <c r="T124" s="29"/>
      <c r="U124" s="29"/>
    </row>
    <row r="125" spans="2:21" ht="16.5" thickBot="1">
      <c r="B125" s="89" t="s">
        <v>3</v>
      </c>
      <c r="C125" s="17"/>
      <c r="D125" s="17"/>
      <c r="E125" s="22"/>
      <c r="F125" s="22"/>
      <c r="G125" s="362"/>
      <c r="H125" s="362"/>
      <c r="I125" s="362"/>
      <c r="J125" s="609"/>
      <c r="K125" s="32"/>
      <c r="L125" s="18"/>
      <c r="Q125" s="16"/>
      <c r="R125" s="29"/>
      <c r="T125" s="29"/>
      <c r="U125" s="29"/>
    </row>
    <row r="126" spans="2:21" ht="12.75" customHeight="1">
      <c r="B126" s="464" t="s">
        <v>11</v>
      </c>
      <c r="C126" s="452">
        <v>21000</v>
      </c>
      <c r="D126" s="437">
        <v>68390</v>
      </c>
      <c r="E126" s="448">
        <f>C126</f>
        <v>21000</v>
      </c>
      <c r="F126" s="448">
        <v>63713</v>
      </c>
      <c r="G126" s="437">
        <v>25000</v>
      </c>
      <c r="H126" s="437"/>
      <c r="I126" s="437"/>
      <c r="J126" s="605">
        <v>28000</v>
      </c>
      <c r="K126" s="30"/>
      <c r="L126" s="30"/>
      <c r="P126" s="356"/>
      <c r="Q126" s="16"/>
      <c r="R126" s="29"/>
      <c r="T126" s="29"/>
      <c r="U126" s="29"/>
    </row>
    <row r="127" spans="2:21" ht="12.75" customHeight="1">
      <c r="B127" s="465" t="s">
        <v>199</v>
      </c>
      <c r="C127" s="430"/>
      <c r="D127" s="398"/>
      <c r="E127" s="397"/>
      <c r="F127" s="397"/>
      <c r="G127" s="398"/>
      <c r="H127" s="398"/>
      <c r="I127" s="399"/>
      <c r="J127" s="602"/>
      <c r="K127" s="30"/>
      <c r="L127" s="30"/>
      <c r="P127" s="357"/>
      <c r="Q127" s="16"/>
      <c r="R127" s="29"/>
      <c r="T127" s="29"/>
      <c r="U127" s="29"/>
    </row>
    <row r="128" spans="2:21" ht="12.75" customHeight="1">
      <c r="B128" s="465" t="s">
        <v>200</v>
      </c>
      <c r="C128" s="430"/>
      <c r="D128" s="398"/>
      <c r="E128" s="595">
        <v>197957</v>
      </c>
      <c r="F128" s="595">
        <v>197957</v>
      </c>
      <c r="G128" s="398"/>
      <c r="H128" s="398"/>
      <c r="I128" s="399"/>
      <c r="J128" s="602"/>
      <c r="K128" s="30"/>
      <c r="L128" s="30"/>
      <c r="P128" s="357"/>
      <c r="Q128" s="16"/>
      <c r="R128" s="29"/>
      <c r="T128" s="29"/>
      <c r="U128" s="29"/>
    </row>
    <row r="129" spans="2:21" ht="14.25" thickBot="1">
      <c r="B129" s="553" t="s">
        <v>4</v>
      </c>
      <c r="C129" s="554">
        <v>593340</v>
      </c>
      <c r="D129" s="555">
        <v>566000</v>
      </c>
      <c r="E129" s="556">
        <f>C129+486+140800</f>
        <v>734626</v>
      </c>
      <c r="F129" s="556">
        <v>734626</v>
      </c>
      <c r="G129" s="555">
        <v>913428</v>
      </c>
      <c r="H129" s="555"/>
      <c r="I129" s="555"/>
      <c r="J129" s="613">
        <f>1038164-85000</f>
        <v>953164</v>
      </c>
      <c r="K129" s="54"/>
      <c r="L129" s="72"/>
      <c r="P129" s="359"/>
      <c r="Q129" s="28"/>
      <c r="R129" s="29"/>
      <c r="T129" s="29"/>
      <c r="U129" s="29"/>
    </row>
    <row r="130" spans="1:21" s="11" customFormat="1" ht="14.25" thickBot="1">
      <c r="A130" s="124"/>
      <c r="B130" s="460" t="s">
        <v>5</v>
      </c>
      <c r="C130" s="373">
        <f>SUM(C126:C129)</f>
        <v>614340</v>
      </c>
      <c r="D130" s="360">
        <f>SUM(D126:D129)</f>
        <v>634390</v>
      </c>
      <c r="E130" s="371">
        <f>SUM(E126:E129)</f>
        <v>953583</v>
      </c>
      <c r="F130" s="371">
        <f>SUM(F126:F129)</f>
        <v>996296</v>
      </c>
      <c r="G130" s="360">
        <f>SUM(G126:G129)</f>
        <v>938428</v>
      </c>
      <c r="H130" s="372"/>
      <c r="I130" s="372">
        <f>SUM(I126:I129)</f>
        <v>0</v>
      </c>
      <c r="J130" s="384">
        <f>SUM(J126:J129)</f>
        <v>981164</v>
      </c>
      <c r="K130" s="35"/>
      <c r="L130" s="56"/>
      <c r="P130" s="124"/>
      <c r="Q130" s="16"/>
      <c r="R130" s="52"/>
      <c r="S130" s="500"/>
      <c r="T130" s="52"/>
      <c r="U130" s="52"/>
    </row>
    <row r="131" spans="2:21" ht="7.5" customHeight="1" thickBot="1">
      <c r="B131" s="20"/>
      <c r="D131" s="362"/>
      <c r="G131" s="362"/>
      <c r="H131" s="362"/>
      <c r="I131" s="362"/>
      <c r="Q131" s="16"/>
      <c r="R131" s="29"/>
      <c r="T131" s="29"/>
      <c r="U131" s="29"/>
    </row>
    <row r="132" spans="2:21" ht="15" thickBot="1" thickTop="1">
      <c r="B132" s="340" t="s">
        <v>168</v>
      </c>
      <c r="C132" s="341"/>
      <c r="D132" s="343">
        <f>D130-D123</f>
        <v>132904</v>
      </c>
      <c r="E132" s="343">
        <f>E130-E123</f>
        <v>0</v>
      </c>
      <c r="F132" s="343">
        <f>F130-F123</f>
        <v>112330</v>
      </c>
      <c r="G132" s="343">
        <f>G130-G123</f>
        <v>0</v>
      </c>
      <c r="H132" s="343"/>
      <c r="I132" s="343">
        <f>I130-I123</f>
        <v>0</v>
      </c>
      <c r="J132" s="610">
        <f>J130-J123</f>
        <v>0</v>
      </c>
      <c r="Q132" s="16"/>
      <c r="R132" s="29"/>
      <c r="T132" s="29"/>
      <c r="U132" s="29"/>
    </row>
    <row r="133" spans="2:21" ht="14.25" thickTop="1">
      <c r="B133" s="20"/>
      <c r="G133" s="362"/>
      <c r="H133" s="362"/>
      <c r="I133" s="362"/>
      <c r="Q133" s="16"/>
      <c r="R133" s="29"/>
      <c r="T133" s="29"/>
      <c r="U133" s="29"/>
    </row>
    <row r="134" spans="2:21" ht="18" thickBot="1">
      <c r="B134" s="875" t="s">
        <v>15</v>
      </c>
      <c r="C134" s="875"/>
      <c r="D134" s="875"/>
      <c r="E134" s="875"/>
      <c r="F134" s="875"/>
      <c r="G134" s="875"/>
      <c r="H134" s="875"/>
      <c r="I134" s="875"/>
      <c r="J134" s="875"/>
      <c r="K134" s="875"/>
      <c r="L134" s="875"/>
      <c r="M134" s="875"/>
      <c r="N134" s="875"/>
      <c r="O134" s="875"/>
      <c r="Q134" s="16"/>
      <c r="R134" s="29"/>
      <c r="T134" s="29"/>
      <c r="U134" s="29"/>
    </row>
    <row r="135" spans="2:21" ht="15">
      <c r="B135" s="454" t="s">
        <v>0</v>
      </c>
      <c r="C135" s="93" t="s">
        <v>299</v>
      </c>
      <c r="D135" s="350" t="s">
        <v>137</v>
      </c>
      <c r="E135" s="93" t="s">
        <v>299</v>
      </c>
      <c r="F135" s="350" t="s">
        <v>137</v>
      </c>
      <c r="G135" s="93" t="s">
        <v>299</v>
      </c>
      <c r="H135" s="350"/>
      <c r="I135" s="383" t="s">
        <v>302</v>
      </c>
      <c r="J135" s="598" t="s">
        <v>165</v>
      </c>
      <c r="K135" s="9"/>
      <c r="L135" s="36"/>
      <c r="M135" s="1"/>
      <c r="N135" s="1"/>
      <c r="O135" s="41"/>
      <c r="P135" s="351" t="s">
        <v>136</v>
      </c>
      <c r="Q135" s="16"/>
      <c r="R135" s="29"/>
      <c r="T135" s="29"/>
      <c r="U135" s="29"/>
    </row>
    <row r="136" spans="2:21" ht="15.75" thickBot="1">
      <c r="B136" s="470"/>
      <c r="C136" s="539">
        <v>2015</v>
      </c>
      <c r="D136" s="353">
        <v>2015</v>
      </c>
      <c r="E136" s="540">
        <v>2016</v>
      </c>
      <c r="F136" s="540">
        <v>2016</v>
      </c>
      <c r="G136" s="353">
        <v>2017</v>
      </c>
      <c r="H136" s="537"/>
      <c r="I136" s="418" t="s">
        <v>303</v>
      </c>
      <c r="J136" s="599" t="s">
        <v>300</v>
      </c>
      <c r="K136" s="9"/>
      <c r="L136" s="36"/>
      <c r="M136" s="1"/>
      <c r="N136" s="1"/>
      <c r="O136" s="41"/>
      <c r="P136" s="355"/>
      <c r="Q136" s="16"/>
      <c r="R136" s="29"/>
      <c r="T136" s="29"/>
      <c r="U136" s="29"/>
    </row>
    <row r="137" spans="2:21" ht="13.5">
      <c r="B137" s="471" t="s">
        <v>315</v>
      </c>
      <c r="C137" s="467">
        <v>95000</v>
      </c>
      <c r="D137" s="437">
        <v>47883</v>
      </c>
      <c r="E137" s="448">
        <v>60000</v>
      </c>
      <c r="F137" s="448">
        <v>42131</v>
      </c>
      <c r="G137" s="437">
        <v>60000</v>
      </c>
      <c r="H137" s="437"/>
      <c r="I137" s="437"/>
      <c r="J137" s="605">
        <v>60000</v>
      </c>
      <c r="K137" s="4"/>
      <c r="L137" s="4"/>
      <c r="M137" s="31"/>
      <c r="N137" s="31"/>
      <c r="O137" s="10"/>
      <c r="P137" s="356"/>
      <c r="Q137" s="16"/>
      <c r="R137" s="29"/>
      <c r="T137" s="29"/>
      <c r="U137" s="29"/>
    </row>
    <row r="138" spans="2:21" ht="13.5">
      <c r="B138" s="472" t="s">
        <v>314</v>
      </c>
      <c r="C138" s="468"/>
      <c r="D138" s="398">
        <v>2902</v>
      </c>
      <c r="E138" s="397">
        <v>5000</v>
      </c>
      <c r="F138" s="397">
        <v>4116</v>
      </c>
      <c r="G138" s="398">
        <v>5000</v>
      </c>
      <c r="H138" s="398"/>
      <c r="I138" s="398"/>
      <c r="J138" s="602">
        <v>5000</v>
      </c>
      <c r="K138" s="4"/>
      <c r="L138" s="4"/>
      <c r="M138" s="31"/>
      <c r="N138" s="31"/>
      <c r="O138" s="10"/>
      <c r="P138" s="357"/>
      <c r="Q138" s="16"/>
      <c r="R138" s="29"/>
      <c r="T138" s="29"/>
      <c r="U138" s="29"/>
    </row>
    <row r="139" spans="2:21" ht="13.5">
      <c r="B139" s="478" t="s">
        <v>313</v>
      </c>
      <c r="C139" s="479"/>
      <c r="D139" s="423">
        <v>13904</v>
      </c>
      <c r="E139" s="422">
        <v>30000</v>
      </c>
      <c r="F139" s="422">
        <v>12739</v>
      </c>
      <c r="G139" s="423">
        <v>20000</v>
      </c>
      <c r="H139" s="423"/>
      <c r="I139" s="423"/>
      <c r="J139" s="614">
        <v>20000</v>
      </c>
      <c r="K139" s="4"/>
      <c r="L139" s="4"/>
      <c r="M139" s="31"/>
      <c r="N139" s="31"/>
      <c r="O139" s="10"/>
      <c r="P139" s="357"/>
      <c r="Q139" s="16"/>
      <c r="R139" s="29"/>
      <c r="T139" s="29"/>
      <c r="U139" s="29"/>
    </row>
    <row r="140" spans="2:21" ht="13.5">
      <c r="B140" s="476" t="s">
        <v>1</v>
      </c>
      <c r="C140" s="477">
        <v>25000</v>
      </c>
      <c r="D140" s="411">
        <v>800</v>
      </c>
      <c r="E140" s="410">
        <f>C140</f>
        <v>25000</v>
      </c>
      <c r="F140" s="410">
        <v>1990</v>
      </c>
      <c r="G140" s="411">
        <v>10000</v>
      </c>
      <c r="H140" s="411"/>
      <c r="I140" s="411"/>
      <c r="J140" s="601">
        <f>10000-5000</f>
        <v>5000</v>
      </c>
      <c r="K140" s="4"/>
      <c r="L140" s="4"/>
      <c r="M140" s="31"/>
      <c r="N140" s="31"/>
      <c r="O140" s="10"/>
      <c r="P140" s="357"/>
      <c r="Q140" s="16"/>
      <c r="R140" s="29"/>
      <c r="T140" s="29"/>
      <c r="U140" s="29"/>
    </row>
    <row r="141" spans="2:21" ht="13.5">
      <c r="B141" s="473" t="s">
        <v>8</v>
      </c>
      <c r="C141" s="468">
        <v>36000</v>
      </c>
      <c r="D141" s="398">
        <v>39835</v>
      </c>
      <c r="E141" s="397">
        <f aca="true" t="shared" si="3" ref="E141:E148">C141</f>
        <v>36000</v>
      </c>
      <c r="F141" s="397">
        <v>80846</v>
      </c>
      <c r="G141" s="398">
        <v>50000</v>
      </c>
      <c r="H141" s="398"/>
      <c r="I141" s="398"/>
      <c r="J141" s="602">
        <v>50000</v>
      </c>
      <c r="K141" s="4"/>
      <c r="L141" s="4"/>
      <c r="M141" s="31"/>
      <c r="N141" s="31"/>
      <c r="O141" s="10"/>
      <c r="P141" s="357"/>
      <c r="Q141" s="16"/>
      <c r="R141" s="29"/>
      <c r="T141" s="29"/>
      <c r="U141" s="29"/>
    </row>
    <row r="142" spans="2:21" ht="13.5">
      <c r="B142" s="473" t="s">
        <v>9</v>
      </c>
      <c r="C142" s="468">
        <v>1000</v>
      </c>
      <c r="D142" s="398">
        <v>94</v>
      </c>
      <c r="E142" s="397">
        <f t="shared" si="3"/>
        <v>1000</v>
      </c>
      <c r="F142" s="397">
        <v>346</v>
      </c>
      <c r="G142" s="398">
        <v>15000</v>
      </c>
      <c r="H142" s="398"/>
      <c r="I142" s="399"/>
      <c r="J142" s="602">
        <f>15000-5000</f>
        <v>10000</v>
      </c>
      <c r="K142" s="4"/>
      <c r="L142" s="4"/>
      <c r="M142" s="31"/>
      <c r="N142" s="31"/>
      <c r="O142" s="10"/>
      <c r="P142" s="357"/>
      <c r="Q142" s="16"/>
      <c r="R142" s="29"/>
      <c r="T142" s="29"/>
      <c r="U142" s="29"/>
    </row>
    <row r="143" spans="2:21" ht="13.5">
      <c r="B143" s="473" t="s">
        <v>16</v>
      </c>
      <c r="C143" s="468">
        <v>311000</v>
      </c>
      <c r="D143" s="398">
        <f>331542-68926+37020</f>
        <v>299636</v>
      </c>
      <c r="E143" s="397">
        <f t="shared" si="3"/>
        <v>311000</v>
      </c>
      <c r="F143" s="397">
        <v>140614</v>
      </c>
      <c r="G143" s="398">
        <v>250000</v>
      </c>
      <c r="H143" s="398"/>
      <c r="I143" s="399"/>
      <c r="J143" s="602">
        <f>250000-50000</f>
        <v>200000</v>
      </c>
      <c r="K143" s="4"/>
      <c r="L143" s="4"/>
      <c r="M143" s="31"/>
      <c r="N143" s="31"/>
      <c r="O143" s="10"/>
      <c r="P143" s="357"/>
      <c r="Q143" s="124" t="s">
        <v>174</v>
      </c>
      <c r="R143" s="29"/>
      <c r="S143" s="516" t="s">
        <v>291</v>
      </c>
      <c r="T143" s="29"/>
      <c r="U143" s="29"/>
    </row>
    <row r="144" spans="2:21" ht="13.5">
      <c r="B144" s="473" t="s">
        <v>57</v>
      </c>
      <c r="C144" s="468">
        <v>2500</v>
      </c>
      <c r="D144" s="398">
        <v>2110</v>
      </c>
      <c r="E144" s="397">
        <f t="shared" si="3"/>
        <v>2500</v>
      </c>
      <c r="F144" s="397">
        <v>0</v>
      </c>
      <c r="G144" s="398"/>
      <c r="H144" s="398"/>
      <c r="I144" s="398"/>
      <c r="J144" s="602">
        <v>0</v>
      </c>
      <c r="K144" s="4"/>
      <c r="L144" s="4"/>
      <c r="M144" s="31"/>
      <c r="N144" s="31"/>
      <c r="O144" s="10"/>
      <c r="P144" s="357"/>
      <c r="Q144" s="53"/>
      <c r="R144" s="29"/>
      <c r="T144" s="29"/>
      <c r="U144" s="29"/>
    </row>
    <row r="145" spans="1:21" ht="13.5">
      <c r="A145" s="124">
        <v>1315</v>
      </c>
      <c r="B145" s="473" t="s">
        <v>59</v>
      </c>
      <c r="C145" s="468">
        <v>25000</v>
      </c>
      <c r="D145" s="398">
        <v>30675</v>
      </c>
      <c r="E145" s="397">
        <f t="shared" si="3"/>
        <v>25000</v>
      </c>
      <c r="F145" s="397">
        <v>3754</v>
      </c>
      <c r="G145" s="398">
        <v>66000</v>
      </c>
      <c r="H145" s="398"/>
      <c r="I145" s="399"/>
      <c r="J145" s="602">
        <v>66000</v>
      </c>
      <c r="K145" s="4"/>
      <c r="L145" s="4"/>
      <c r="M145" s="31"/>
      <c r="N145" s="31"/>
      <c r="O145" s="10"/>
      <c r="P145" s="357" t="s">
        <v>145</v>
      </c>
      <c r="Q145" s="53">
        <f>J145</f>
        <v>66000</v>
      </c>
      <c r="R145" s="29"/>
      <c r="S145" s="515">
        <v>41000</v>
      </c>
      <c r="T145" s="29"/>
      <c r="U145" s="29"/>
    </row>
    <row r="146" spans="1:21" ht="13.5">
      <c r="A146" s="124">
        <v>1309</v>
      </c>
      <c r="B146" s="473" t="s">
        <v>223</v>
      </c>
      <c r="C146" s="468">
        <v>20000</v>
      </c>
      <c r="D146" s="398">
        <v>124373</v>
      </c>
      <c r="E146" s="397">
        <f t="shared" si="3"/>
        <v>20000</v>
      </c>
      <c r="F146" s="397">
        <v>127566</v>
      </c>
      <c r="G146" s="398">
        <v>135000</v>
      </c>
      <c r="H146" s="398"/>
      <c r="I146" s="399"/>
      <c r="J146" s="602">
        <v>135000</v>
      </c>
      <c r="K146" s="4"/>
      <c r="L146" s="4"/>
      <c r="M146" s="31"/>
      <c r="N146" s="31"/>
      <c r="O146" s="10"/>
      <c r="P146" s="357" t="s">
        <v>148</v>
      </c>
      <c r="Q146" s="53">
        <f>J146</f>
        <v>135000</v>
      </c>
      <c r="R146" s="29"/>
      <c r="S146" s="515">
        <v>90000</v>
      </c>
      <c r="T146" s="29"/>
      <c r="U146" s="29"/>
    </row>
    <row r="147" spans="1:21" ht="13.5">
      <c r="A147" s="124">
        <v>1327</v>
      </c>
      <c r="B147" s="473" t="s">
        <v>203</v>
      </c>
      <c r="C147" s="468">
        <v>15000</v>
      </c>
      <c r="D147" s="398">
        <v>14748</v>
      </c>
      <c r="E147" s="397">
        <f t="shared" si="3"/>
        <v>15000</v>
      </c>
      <c r="F147" s="397">
        <v>15574</v>
      </c>
      <c r="G147" s="398">
        <v>20000</v>
      </c>
      <c r="H147" s="398"/>
      <c r="I147" s="399"/>
      <c r="J147" s="602">
        <f>40000-5000</f>
        <v>35000</v>
      </c>
      <c r="K147" s="4"/>
      <c r="L147" s="4"/>
      <c r="M147" s="31"/>
      <c r="N147" s="31"/>
      <c r="O147" s="10"/>
      <c r="P147" s="357" t="s">
        <v>144</v>
      </c>
      <c r="Q147" s="53">
        <f>J147</f>
        <v>35000</v>
      </c>
      <c r="R147" s="29"/>
      <c r="S147" s="515"/>
      <c r="T147" s="29"/>
      <c r="U147" s="29"/>
    </row>
    <row r="148" spans="1:21" ht="13.5">
      <c r="A148" s="124">
        <v>1317</v>
      </c>
      <c r="B148" s="473" t="s">
        <v>204</v>
      </c>
      <c r="C148" s="468">
        <v>30000</v>
      </c>
      <c r="D148" s="398"/>
      <c r="E148" s="397">
        <f t="shared" si="3"/>
        <v>30000</v>
      </c>
      <c r="F148" s="397">
        <v>39066</v>
      </c>
      <c r="G148" s="398">
        <v>32000</v>
      </c>
      <c r="H148" s="398"/>
      <c r="I148" s="399"/>
      <c r="J148" s="602">
        <v>32000</v>
      </c>
      <c r="K148" s="4"/>
      <c r="L148" s="4"/>
      <c r="M148" s="31"/>
      <c r="N148" s="31"/>
      <c r="O148" s="10"/>
      <c r="P148" s="357" t="s">
        <v>234</v>
      </c>
      <c r="Q148" s="53">
        <f>J148</f>
        <v>32000</v>
      </c>
      <c r="R148" s="29"/>
      <c r="S148" s="515">
        <v>12000</v>
      </c>
      <c r="T148" s="29"/>
      <c r="U148" s="29"/>
    </row>
    <row r="149" spans="2:21" ht="14.25" thickBot="1">
      <c r="B149" s="557" t="s">
        <v>10</v>
      </c>
      <c r="C149" s="558">
        <v>751129</v>
      </c>
      <c r="D149" s="551">
        <v>731469</v>
      </c>
      <c r="E149" s="552">
        <v>753477</v>
      </c>
      <c r="F149" s="552">
        <v>703845</v>
      </c>
      <c r="G149" s="551">
        <v>917284</v>
      </c>
      <c r="H149" s="551"/>
      <c r="I149" s="551"/>
      <c r="J149" s="612">
        <v>1050442</v>
      </c>
      <c r="K149" s="4"/>
      <c r="L149" s="4"/>
      <c r="M149" s="31"/>
      <c r="N149" s="31"/>
      <c r="O149" s="10"/>
      <c r="P149" s="359"/>
      <c r="Q149" s="16"/>
      <c r="R149" s="29"/>
      <c r="S149" s="515"/>
      <c r="T149" s="29"/>
      <c r="U149" s="29"/>
    </row>
    <row r="150" spans="1:21" s="11" customFormat="1" ht="14.25" thickBot="1">
      <c r="A150" s="124"/>
      <c r="B150" s="475" t="s">
        <v>2</v>
      </c>
      <c r="C150" s="331">
        <f>SUM(C137:C149)</f>
        <v>1311629</v>
      </c>
      <c r="D150" s="365">
        <f>SUM(D137:D149)</f>
        <v>1308429</v>
      </c>
      <c r="E150" s="77">
        <f>SUM(E137:E149)</f>
        <v>1313977</v>
      </c>
      <c r="F150" s="77">
        <f>SUM(F137:F149)</f>
        <v>1172587</v>
      </c>
      <c r="G150" s="365">
        <f>SUM(G137:G149)</f>
        <v>1580284</v>
      </c>
      <c r="H150" s="365"/>
      <c r="I150" s="365">
        <f>SUM(I137:I149)</f>
        <v>0</v>
      </c>
      <c r="J150" s="365">
        <f>SUM(J137:J149)</f>
        <v>1668442</v>
      </c>
      <c r="K150" s="5"/>
      <c r="L150" s="85"/>
      <c r="M150" s="51"/>
      <c r="N150" s="51"/>
      <c r="O150" s="83"/>
      <c r="P150" s="124"/>
      <c r="Q150" s="511">
        <f>SUM(Q144:Q149)</f>
        <v>268000</v>
      </c>
      <c r="R150" s="52"/>
      <c r="S150" s="519">
        <f>SUM(S145:S149)</f>
        <v>143000</v>
      </c>
      <c r="T150" s="52"/>
      <c r="U150" s="52"/>
    </row>
    <row r="151" spans="2:21" ht="15.75" thickBot="1">
      <c r="B151" s="21"/>
      <c r="C151" s="23"/>
      <c r="D151" s="23"/>
      <c r="E151" s="22"/>
      <c r="F151" s="22"/>
      <c r="G151" s="362"/>
      <c r="H151" s="362"/>
      <c r="I151" s="362"/>
      <c r="K151" s="31"/>
      <c r="L151" s="31"/>
      <c r="M151" s="31"/>
      <c r="N151" s="31"/>
      <c r="O151" s="10"/>
      <c r="Q151" s="29"/>
      <c r="R151" s="29"/>
      <c r="T151" s="29"/>
      <c r="U151" s="29"/>
    </row>
    <row r="152" spans="2:21" ht="15.75" thickBot="1">
      <c r="B152" s="24" t="s">
        <v>3</v>
      </c>
      <c r="C152" s="23"/>
      <c r="D152" s="23"/>
      <c r="E152" s="22"/>
      <c r="F152" s="22"/>
      <c r="G152" s="362"/>
      <c r="H152" s="362"/>
      <c r="I152" s="362"/>
      <c r="K152" s="31"/>
      <c r="L152" s="31"/>
      <c r="M152" s="31"/>
      <c r="N152" s="31"/>
      <c r="O152" s="10"/>
      <c r="Q152" s="135"/>
      <c r="R152" s="29"/>
      <c r="T152" s="29"/>
      <c r="U152" s="29"/>
    </row>
    <row r="153" spans="2:21" ht="13.5">
      <c r="B153" s="471" t="s">
        <v>11</v>
      </c>
      <c r="C153" s="467">
        <v>265000</v>
      </c>
      <c r="D153" s="437">
        <v>421110</v>
      </c>
      <c r="E153" s="448">
        <f>C153</f>
        <v>265000</v>
      </c>
      <c r="F153" s="448">
        <v>272081</v>
      </c>
      <c r="G153" s="437">
        <v>345000</v>
      </c>
      <c r="H153" s="437"/>
      <c r="I153" s="596"/>
      <c r="J153" s="605">
        <v>380000</v>
      </c>
      <c r="K153" s="4"/>
      <c r="L153" s="4"/>
      <c r="M153" s="31"/>
      <c r="N153" s="31"/>
      <c r="O153" s="10"/>
      <c r="P153" s="356"/>
      <c r="Q153" s="29"/>
      <c r="R153" s="16" t="s">
        <v>263</v>
      </c>
      <c r="T153" s="29"/>
      <c r="U153" s="29"/>
    </row>
    <row r="154" spans="2:21" ht="13.5">
      <c r="B154" s="476" t="s">
        <v>227</v>
      </c>
      <c r="C154" s="477"/>
      <c r="D154" s="411"/>
      <c r="E154" s="410"/>
      <c r="F154" s="410"/>
      <c r="G154" s="411"/>
      <c r="H154" s="411"/>
      <c r="I154" s="412"/>
      <c r="J154" s="601"/>
      <c r="K154" s="4"/>
      <c r="L154" s="4"/>
      <c r="M154" s="31"/>
      <c r="N154" s="31"/>
      <c r="O154" s="10"/>
      <c r="P154" s="414"/>
      <c r="Q154" s="29"/>
      <c r="R154" s="29"/>
      <c r="T154" s="29"/>
      <c r="U154" s="29"/>
    </row>
    <row r="155" spans="2:21" ht="13.5">
      <c r="B155" s="476" t="s">
        <v>12</v>
      </c>
      <c r="C155" s="477"/>
      <c r="D155" s="411"/>
      <c r="E155" s="410"/>
      <c r="F155" s="410">
        <v>27276</v>
      </c>
      <c r="G155" s="411"/>
      <c r="H155" s="411"/>
      <c r="I155" s="412"/>
      <c r="J155" s="601"/>
      <c r="K155" s="4"/>
      <c r="L155" s="4"/>
      <c r="M155" s="31"/>
      <c r="N155" s="31"/>
      <c r="O155" s="10"/>
      <c r="P155" s="414"/>
      <c r="Q155" s="29"/>
      <c r="R155" s="29"/>
      <c r="T155" s="29"/>
      <c r="U155" s="29"/>
    </row>
    <row r="156" spans="2:21" ht="13.5">
      <c r="B156" s="559" t="s">
        <v>4</v>
      </c>
      <c r="C156" s="560">
        <v>954129</v>
      </c>
      <c r="D156" s="543">
        <v>899000</v>
      </c>
      <c r="E156" s="544">
        <v>956477</v>
      </c>
      <c r="F156" s="544">
        <v>956477</v>
      </c>
      <c r="G156" s="543">
        <v>1130284</v>
      </c>
      <c r="H156" s="543"/>
      <c r="I156" s="543"/>
      <c r="J156" s="606">
        <f>1228442-60000</f>
        <v>1168442</v>
      </c>
      <c r="K156" s="4"/>
      <c r="L156" s="4"/>
      <c r="M156" s="31"/>
      <c r="N156" s="31"/>
      <c r="O156" s="10"/>
      <c r="P156" s="357"/>
      <c r="Q156" s="29"/>
      <c r="R156" s="29"/>
      <c r="T156" s="29"/>
      <c r="U156" s="29"/>
    </row>
    <row r="157" spans="2:21" ht="12.75">
      <c r="B157" s="574" t="s">
        <v>60</v>
      </c>
      <c r="C157" s="575">
        <v>2500</v>
      </c>
      <c r="D157" s="565">
        <v>2500</v>
      </c>
      <c r="E157" s="566">
        <f>C157</f>
        <v>2500</v>
      </c>
      <c r="F157" s="566">
        <v>2500</v>
      </c>
      <c r="G157" s="399"/>
      <c r="H157" s="399"/>
      <c r="I157" s="399"/>
      <c r="J157" s="615"/>
      <c r="K157" s="4"/>
      <c r="L157" s="4"/>
      <c r="M157" s="31"/>
      <c r="N157" s="31"/>
      <c r="O157" s="10"/>
      <c r="P157" s="357"/>
      <c r="Q157" s="29"/>
      <c r="R157" s="29"/>
      <c r="T157" s="29"/>
      <c r="U157" s="29"/>
    </row>
    <row r="158" spans="2:21" ht="13.5">
      <c r="B158" s="574" t="s">
        <v>329</v>
      </c>
      <c r="C158" s="575">
        <v>20000</v>
      </c>
      <c r="D158" s="565">
        <v>20000</v>
      </c>
      <c r="E158" s="566">
        <f>C158</f>
        <v>20000</v>
      </c>
      <c r="F158" s="566">
        <v>20000</v>
      </c>
      <c r="G158" s="565">
        <v>40000</v>
      </c>
      <c r="H158" s="565"/>
      <c r="I158" s="565"/>
      <c r="J158" s="608">
        <v>40000</v>
      </c>
      <c r="K158" s="4"/>
      <c r="L158" s="4"/>
      <c r="M158" s="31"/>
      <c r="N158" s="31"/>
      <c r="O158" s="10"/>
      <c r="P158" s="357"/>
      <c r="Q158" s="29"/>
      <c r="R158" s="16">
        <f>J158</f>
        <v>40000</v>
      </c>
      <c r="T158" s="29"/>
      <c r="U158" s="29"/>
    </row>
    <row r="159" spans="2:21" ht="13.5">
      <c r="B159" s="574" t="s">
        <v>330</v>
      </c>
      <c r="C159" s="575">
        <v>25000</v>
      </c>
      <c r="D159" s="565">
        <v>25000</v>
      </c>
      <c r="E159" s="566">
        <f>C159</f>
        <v>25000</v>
      </c>
      <c r="F159" s="566">
        <v>25000</v>
      </c>
      <c r="G159" s="565">
        <v>25000</v>
      </c>
      <c r="H159" s="565"/>
      <c r="I159" s="565"/>
      <c r="J159" s="608">
        <v>25000</v>
      </c>
      <c r="K159" s="4"/>
      <c r="L159" s="4"/>
      <c r="M159" s="31"/>
      <c r="N159" s="31"/>
      <c r="O159" s="10"/>
      <c r="P159" s="357"/>
      <c r="Q159" s="29"/>
      <c r="R159" s="16">
        <f>J159</f>
        <v>25000</v>
      </c>
      <c r="T159" s="29"/>
      <c r="U159" s="29"/>
    </row>
    <row r="160" spans="2:21" ht="13.5">
      <c r="B160" s="574" t="s">
        <v>205</v>
      </c>
      <c r="C160" s="575"/>
      <c r="D160" s="565">
        <v>80000</v>
      </c>
      <c r="E160" s="439"/>
      <c r="F160" s="439"/>
      <c r="G160" s="399"/>
      <c r="H160" s="399"/>
      <c r="I160" s="399"/>
      <c r="J160" s="615"/>
      <c r="K160" s="4"/>
      <c r="L160" s="4"/>
      <c r="M160" s="31"/>
      <c r="N160" s="31"/>
      <c r="O160" s="10"/>
      <c r="P160" s="357"/>
      <c r="Q160" s="29"/>
      <c r="R160" s="16"/>
      <c r="T160" s="29"/>
      <c r="U160" s="29"/>
    </row>
    <row r="161" spans="2:21" ht="13.5">
      <c r="B161" s="574" t="s">
        <v>331</v>
      </c>
      <c r="C161" s="575">
        <v>15000</v>
      </c>
      <c r="D161" s="565" t="s">
        <v>207</v>
      </c>
      <c r="E161" s="566">
        <f>C161</f>
        <v>15000</v>
      </c>
      <c r="F161" s="566">
        <v>15000</v>
      </c>
      <c r="G161" s="565">
        <v>20000</v>
      </c>
      <c r="H161" s="565"/>
      <c r="I161" s="565"/>
      <c r="J161" s="608">
        <f>40000-5000</f>
        <v>35000</v>
      </c>
      <c r="K161" s="4"/>
      <c r="L161" s="4"/>
      <c r="M161" s="31"/>
      <c r="N161" s="31"/>
      <c r="O161" s="10"/>
      <c r="P161" s="357"/>
      <c r="Q161" s="29"/>
      <c r="R161" s="16">
        <f>J161</f>
        <v>35000</v>
      </c>
      <c r="T161" s="29"/>
      <c r="U161" s="29"/>
    </row>
    <row r="162" spans="2:21" ht="13.5">
      <c r="B162" s="572" t="s">
        <v>332</v>
      </c>
      <c r="C162" s="573">
        <v>30000</v>
      </c>
      <c r="D162" s="565"/>
      <c r="E162" s="566">
        <f>C162</f>
        <v>30000</v>
      </c>
      <c r="F162" s="566">
        <v>30000</v>
      </c>
      <c r="G162" s="565">
        <v>20000</v>
      </c>
      <c r="H162" s="565"/>
      <c r="I162" s="565"/>
      <c r="J162" s="608">
        <v>20000</v>
      </c>
      <c r="K162" s="4"/>
      <c r="L162" s="4"/>
      <c r="M162" s="31"/>
      <c r="N162" s="31"/>
      <c r="O162" s="10"/>
      <c r="P162" s="357"/>
      <c r="Q162" s="29"/>
      <c r="R162" s="16">
        <f>J162</f>
        <v>20000</v>
      </c>
      <c r="T162" s="29"/>
      <c r="U162" s="29"/>
    </row>
    <row r="163" spans="2:21" ht="14.25" thickBot="1">
      <c r="B163" s="523" t="s">
        <v>209</v>
      </c>
      <c r="C163" s="524"/>
      <c r="D163" s="408">
        <v>12500</v>
      </c>
      <c r="E163" s="482"/>
      <c r="F163" s="482"/>
      <c r="G163" s="408"/>
      <c r="H163" s="408"/>
      <c r="I163" s="408"/>
      <c r="J163" s="603"/>
      <c r="K163" s="4"/>
      <c r="L163" s="4"/>
      <c r="M163" s="31"/>
      <c r="N163" s="31"/>
      <c r="O163" s="10"/>
      <c r="P163" s="359"/>
      <c r="T163" s="29"/>
      <c r="U163" s="29"/>
    </row>
    <row r="164" spans="1:21" s="11" customFormat="1" ht="14.25" thickBot="1">
      <c r="A164" s="124"/>
      <c r="B164" s="490" t="s">
        <v>5</v>
      </c>
      <c r="C164" s="173">
        <f>SUM(C153:C163)</f>
        <v>1311629</v>
      </c>
      <c r="D164" s="360">
        <f>SUM(D153:D163)</f>
        <v>1460110</v>
      </c>
      <c r="E164" s="149">
        <f>SUM(E153:E163)</f>
        <v>1313977</v>
      </c>
      <c r="F164" s="149">
        <f>SUM(F153:F163)</f>
        <v>1348334</v>
      </c>
      <c r="G164" s="360">
        <f>SUM(G153:G163)</f>
        <v>1580284</v>
      </c>
      <c r="H164" s="360"/>
      <c r="I164" s="360">
        <f>SUM(I153:I163)</f>
        <v>0</v>
      </c>
      <c r="J164" s="360">
        <f>SUM(J153:J163)</f>
        <v>1668442</v>
      </c>
      <c r="K164" s="51"/>
      <c r="L164" s="85"/>
      <c r="M164" s="51"/>
      <c r="N164" s="51"/>
      <c r="O164" s="83"/>
      <c r="P164" s="124"/>
      <c r="R164" s="510">
        <f>SUM(R158:R163)</f>
        <v>120000</v>
      </c>
      <c r="S164" s="500"/>
      <c r="T164" s="52"/>
      <c r="U164" s="52"/>
    </row>
    <row r="165" spans="1:21" s="11" customFormat="1" ht="9" customHeight="1" thickBot="1">
      <c r="A165" s="124"/>
      <c r="B165" s="137"/>
      <c r="C165" s="51"/>
      <c r="D165" s="51"/>
      <c r="E165" s="5"/>
      <c r="F165" s="5"/>
      <c r="G165" s="367"/>
      <c r="H165" s="367"/>
      <c r="I165" s="367"/>
      <c r="J165" s="609"/>
      <c r="K165" s="51"/>
      <c r="L165" s="85"/>
      <c r="M165" s="51"/>
      <c r="N165" s="51"/>
      <c r="O165" s="83"/>
      <c r="P165" s="124"/>
      <c r="S165" s="500"/>
      <c r="T165" s="52"/>
      <c r="U165" s="52"/>
    </row>
    <row r="166" spans="1:21" s="11" customFormat="1" ht="15" thickBot="1" thickTop="1">
      <c r="A166" s="124"/>
      <c r="B166" s="340" t="s">
        <v>169</v>
      </c>
      <c r="C166" s="341"/>
      <c r="D166" s="343">
        <f>D164-D150</f>
        <v>151681</v>
      </c>
      <c r="E166" s="343">
        <f>E164-E150</f>
        <v>0</v>
      </c>
      <c r="F166" s="343">
        <f>F164-F150</f>
        <v>175747</v>
      </c>
      <c r="G166" s="343">
        <f>G164-G150</f>
        <v>0</v>
      </c>
      <c r="H166" s="343"/>
      <c r="I166" s="343">
        <f>I164-I150</f>
        <v>0</v>
      </c>
      <c r="J166" s="610">
        <f>J164-J150</f>
        <v>0</v>
      </c>
      <c r="K166" s="51"/>
      <c r="L166" s="85"/>
      <c r="M166" s="51"/>
      <c r="N166" s="51"/>
      <c r="O166" s="83"/>
      <c r="P166" s="124"/>
      <c r="S166" s="500"/>
      <c r="T166" s="52"/>
      <c r="U166" s="52"/>
    </row>
    <row r="167" spans="1:21" s="11" customFormat="1" ht="14.25" thickTop="1">
      <c r="A167" s="124"/>
      <c r="B167" s="137"/>
      <c r="C167" s="51"/>
      <c r="D167" s="51"/>
      <c r="E167" s="5"/>
      <c r="F167" s="5"/>
      <c r="G167" s="367"/>
      <c r="H167" s="367"/>
      <c r="I167" s="367"/>
      <c r="J167" s="609"/>
      <c r="K167" s="51"/>
      <c r="L167" s="85"/>
      <c r="M167" s="51"/>
      <c r="N167" s="51"/>
      <c r="O167" s="83"/>
      <c r="P167" s="124"/>
      <c r="S167" s="500"/>
      <c r="T167" s="52"/>
      <c r="U167" s="52"/>
    </row>
    <row r="168" spans="1:21" s="6" customFormat="1" ht="18" thickBot="1">
      <c r="A168" s="63"/>
      <c r="B168" s="875" t="s">
        <v>62</v>
      </c>
      <c r="C168" s="875"/>
      <c r="D168" s="875"/>
      <c r="E168" s="875"/>
      <c r="F168" s="875"/>
      <c r="G168" s="875"/>
      <c r="H168" s="875"/>
      <c r="I168" s="875"/>
      <c r="J168" s="875"/>
      <c r="K168" s="875"/>
      <c r="L168" s="875"/>
      <c r="M168" s="875"/>
      <c r="N168" s="875"/>
      <c r="O168" s="875"/>
      <c r="P168" s="63"/>
      <c r="S168" s="7"/>
      <c r="T168" s="25"/>
      <c r="U168" s="25"/>
    </row>
    <row r="169" spans="1:19" s="25" customFormat="1" ht="15">
      <c r="A169" s="68"/>
      <c r="B169" s="454" t="s">
        <v>0</v>
      </c>
      <c r="C169" s="93" t="s">
        <v>299</v>
      </c>
      <c r="D169" s="350" t="s">
        <v>137</v>
      </c>
      <c r="E169" s="93" t="s">
        <v>299</v>
      </c>
      <c r="F169" s="350" t="s">
        <v>137</v>
      </c>
      <c r="G169" s="93" t="s">
        <v>299</v>
      </c>
      <c r="H169" s="350"/>
      <c r="I169" s="383" t="s">
        <v>302</v>
      </c>
      <c r="J169" s="598" t="s">
        <v>165</v>
      </c>
      <c r="K169" s="9"/>
      <c r="L169" s="36"/>
      <c r="M169" s="1"/>
      <c r="N169" s="1"/>
      <c r="O169" s="41"/>
      <c r="P169" s="351" t="s">
        <v>136</v>
      </c>
      <c r="S169" s="57"/>
    </row>
    <row r="170" spans="1:19" s="25" customFormat="1" ht="15.75" thickBot="1">
      <c r="A170" s="68"/>
      <c r="B170" s="455"/>
      <c r="C170" s="539">
        <v>2015</v>
      </c>
      <c r="D170" s="353">
        <v>2015</v>
      </c>
      <c r="E170" s="540">
        <v>2016</v>
      </c>
      <c r="F170" s="540">
        <v>2016</v>
      </c>
      <c r="G170" s="353">
        <v>2017</v>
      </c>
      <c r="H170" s="537"/>
      <c r="I170" s="418" t="s">
        <v>303</v>
      </c>
      <c r="J170" s="599" t="s">
        <v>300</v>
      </c>
      <c r="K170" s="9"/>
      <c r="L170" s="36"/>
      <c r="M170" s="1"/>
      <c r="N170" s="1"/>
      <c r="O170" s="41"/>
      <c r="P170" s="355"/>
      <c r="S170" s="57"/>
    </row>
    <row r="171" spans="1:19" s="25" customFormat="1" ht="13.5">
      <c r="A171" s="68"/>
      <c r="B171" s="476" t="s">
        <v>1</v>
      </c>
      <c r="C171" s="477">
        <v>10000</v>
      </c>
      <c r="D171" s="411">
        <v>0</v>
      </c>
      <c r="E171" s="410">
        <f>C171</f>
        <v>10000</v>
      </c>
      <c r="F171" s="410">
        <v>0</v>
      </c>
      <c r="G171" s="411">
        <v>5000</v>
      </c>
      <c r="H171" s="411"/>
      <c r="I171" s="411"/>
      <c r="J171" s="601">
        <v>5000</v>
      </c>
      <c r="K171" s="4"/>
      <c r="L171" s="4"/>
      <c r="M171" s="31"/>
      <c r="N171" s="31"/>
      <c r="O171" s="10"/>
      <c r="P171" s="374"/>
      <c r="S171" s="57"/>
    </row>
    <row r="172" spans="1:19" s="25" customFormat="1" ht="13.5">
      <c r="A172" s="68"/>
      <c r="B172" s="473" t="s">
        <v>8</v>
      </c>
      <c r="C172" s="468">
        <v>40000</v>
      </c>
      <c r="D172" s="398">
        <v>12723</v>
      </c>
      <c r="E172" s="397">
        <f>C172</f>
        <v>40000</v>
      </c>
      <c r="F172" s="397">
        <v>71068</v>
      </c>
      <c r="G172" s="398">
        <v>20000</v>
      </c>
      <c r="H172" s="398"/>
      <c r="I172" s="398"/>
      <c r="J172" s="602">
        <v>20000</v>
      </c>
      <c r="K172" s="4"/>
      <c r="L172" s="4"/>
      <c r="M172" s="31"/>
      <c r="N172" s="31"/>
      <c r="O172" s="10"/>
      <c r="P172" s="375"/>
      <c r="S172" s="57"/>
    </row>
    <row r="173" spans="1:19" s="25" customFormat="1" ht="13.5">
      <c r="A173" s="68"/>
      <c r="B173" s="473" t="s">
        <v>9</v>
      </c>
      <c r="C173" s="468">
        <v>1000</v>
      </c>
      <c r="D173" s="398">
        <v>115</v>
      </c>
      <c r="E173" s="397">
        <f>C173</f>
        <v>1000</v>
      </c>
      <c r="F173" s="397">
        <v>64</v>
      </c>
      <c r="G173" s="398">
        <v>5000</v>
      </c>
      <c r="H173" s="398"/>
      <c r="I173" s="398"/>
      <c r="J173" s="602">
        <v>5000</v>
      </c>
      <c r="K173" s="4"/>
      <c r="L173" s="4"/>
      <c r="M173" s="31"/>
      <c r="N173" s="31"/>
      <c r="O173" s="10"/>
      <c r="P173" s="375"/>
      <c r="S173" s="57"/>
    </row>
    <row r="174" spans="1:19" s="25" customFormat="1" ht="13.5">
      <c r="A174" s="68"/>
      <c r="B174" s="473" t="s">
        <v>16</v>
      </c>
      <c r="C174" s="468">
        <v>95000</v>
      </c>
      <c r="D174" s="398"/>
      <c r="E174" s="397">
        <f>C174</f>
        <v>95000</v>
      </c>
      <c r="F174" s="397">
        <v>3014</v>
      </c>
      <c r="G174" s="398">
        <v>22000</v>
      </c>
      <c r="H174" s="398"/>
      <c r="I174" s="398"/>
      <c r="J174" s="602">
        <f>22000-2000</f>
        <v>20000</v>
      </c>
      <c r="K174" s="27"/>
      <c r="L174" s="4"/>
      <c r="M174" s="31"/>
      <c r="N174" s="31"/>
      <c r="O174" s="10"/>
      <c r="P174" s="375"/>
      <c r="S174" s="57"/>
    </row>
    <row r="175" spans="1:19" s="25" customFormat="1" ht="13.5">
      <c r="A175" s="68"/>
      <c r="B175" s="561" t="s">
        <v>10</v>
      </c>
      <c r="C175" s="562">
        <v>612871</v>
      </c>
      <c r="D175" s="547">
        <v>618557</v>
      </c>
      <c r="E175" s="548">
        <v>615136</v>
      </c>
      <c r="F175" s="548">
        <v>562379</v>
      </c>
      <c r="G175" s="547">
        <v>837462</v>
      </c>
      <c r="H175" s="547"/>
      <c r="I175" s="547"/>
      <c r="J175" s="616">
        <v>886642</v>
      </c>
      <c r="K175" s="4"/>
      <c r="L175" s="4"/>
      <c r="M175" s="31"/>
      <c r="N175" s="31"/>
      <c r="O175" s="10"/>
      <c r="P175" s="357"/>
      <c r="Q175" s="124" t="s">
        <v>174</v>
      </c>
      <c r="S175" s="57"/>
    </row>
    <row r="176" spans="1:19" s="25" customFormat="1" ht="13.5">
      <c r="A176" s="68">
        <v>1351</v>
      </c>
      <c r="B176" s="473" t="s">
        <v>65</v>
      </c>
      <c r="C176" s="468">
        <v>90000</v>
      </c>
      <c r="D176" s="398">
        <v>70399</v>
      </c>
      <c r="E176" s="397">
        <f>C176</f>
        <v>90000</v>
      </c>
      <c r="F176" s="397">
        <v>85637</v>
      </c>
      <c r="G176" s="398">
        <v>90000</v>
      </c>
      <c r="H176" s="398"/>
      <c r="I176" s="398"/>
      <c r="J176" s="602">
        <v>80000</v>
      </c>
      <c r="K176" s="4"/>
      <c r="L176" s="4"/>
      <c r="M176" s="31"/>
      <c r="N176" s="31"/>
      <c r="O176" s="10"/>
      <c r="P176" s="357" t="s">
        <v>253</v>
      </c>
      <c r="Q176" s="57">
        <f>C176</f>
        <v>90000</v>
      </c>
      <c r="S176" s="57"/>
    </row>
    <row r="177" spans="1:19" s="25" customFormat="1" ht="13.5">
      <c r="A177" s="68">
        <v>1350</v>
      </c>
      <c r="B177" s="473" t="s">
        <v>210</v>
      </c>
      <c r="C177" s="468">
        <v>30000</v>
      </c>
      <c r="D177" s="398">
        <v>16000</v>
      </c>
      <c r="E177" s="397">
        <f>C177</f>
        <v>30000</v>
      </c>
      <c r="F177" s="397">
        <v>23774</v>
      </c>
      <c r="G177" s="398">
        <v>30000</v>
      </c>
      <c r="H177" s="398"/>
      <c r="I177" s="398"/>
      <c r="J177" s="602">
        <v>30000</v>
      </c>
      <c r="K177" s="4"/>
      <c r="L177" s="4"/>
      <c r="M177" s="31"/>
      <c r="N177" s="31"/>
      <c r="O177" s="10"/>
      <c r="P177" s="357" t="s">
        <v>149</v>
      </c>
      <c r="Q177" s="57">
        <f>C177</f>
        <v>30000</v>
      </c>
      <c r="S177" s="57"/>
    </row>
    <row r="178" spans="1:19" s="25" customFormat="1" ht="14.25" thickBot="1">
      <c r="A178" s="68">
        <v>1352</v>
      </c>
      <c r="B178" s="493" t="s">
        <v>63</v>
      </c>
      <c r="C178" s="479">
        <v>260000</v>
      </c>
      <c r="D178" s="492">
        <v>110000</v>
      </c>
      <c r="E178" s="422">
        <f>C178</f>
        <v>260000</v>
      </c>
      <c r="F178" s="538">
        <v>236919</v>
      </c>
      <c r="G178" s="492">
        <v>200000</v>
      </c>
      <c r="H178" s="492"/>
      <c r="I178" s="492"/>
      <c r="J178" s="614">
        <v>180000</v>
      </c>
      <c r="K178" s="4"/>
      <c r="L178" s="4"/>
      <c r="M178" s="31"/>
      <c r="N178" s="31"/>
      <c r="O178" s="10"/>
      <c r="P178" s="359" t="s">
        <v>147</v>
      </c>
      <c r="Q178" s="57">
        <v>200000</v>
      </c>
      <c r="S178" s="57"/>
    </row>
    <row r="179" spans="1:19" s="25" customFormat="1" ht="14.25" thickBot="1">
      <c r="A179" s="68"/>
      <c r="B179" s="475" t="s">
        <v>2</v>
      </c>
      <c r="C179" s="173">
        <f>SUM(C171:C178)</f>
        <v>1138871</v>
      </c>
      <c r="D179" s="360">
        <f>SUM(D171:D178)</f>
        <v>827794</v>
      </c>
      <c r="E179" s="149">
        <f>SUM(E171:E178)</f>
        <v>1141136</v>
      </c>
      <c r="F179" s="149">
        <f>SUM(F171:F178)</f>
        <v>982855</v>
      </c>
      <c r="G179" s="360">
        <f>SUM(G171:G178)</f>
        <v>1209462</v>
      </c>
      <c r="H179" s="360"/>
      <c r="I179" s="360">
        <f>SUM(I171:I178)</f>
        <v>0</v>
      </c>
      <c r="J179" s="360">
        <f>SUM(J171:J178)</f>
        <v>1226642</v>
      </c>
      <c r="K179" s="5"/>
      <c r="L179" s="85"/>
      <c r="M179" s="51"/>
      <c r="N179" s="51"/>
      <c r="O179" s="83"/>
      <c r="P179" s="68"/>
      <c r="Q179" s="509">
        <f>SUM(Q176:Q178)</f>
        <v>320000</v>
      </c>
      <c r="S179" s="57"/>
    </row>
    <row r="180" spans="1:19" s="29" customFormat="1" ht="15.75" thickBot="1">
      <c r="A180" s="278"/>
      <c r="B180" s="21"/>
      <c r="C180" s="23"/>
      <c r="D180" s="362"/>
      <c r="E180" s="22"/>
      <c r="F180" s="22"/>
      <c r="G180" s="362"/>
      <c r="H180" s="362"/>
      <c r="I180" s="362"/>
      <c r="J180" s="611"/>
      <c r="K180" s="31"/>
      <c r="L180" s="31"/>
      <c r="M180" s="31"/>
      <c r="N180" s="31"/>
      <c r="O180" s="10"/>
      <c r="P180" s="278"/>
      <c r="S180" s="134"/>
    </row>
    <row r="181" spans="1:19" s="29" customFormat="1" ht="15.75" thickBot="1">
      <c r="A181" s="278"/>
      <c r="B181" s="24" t="s">
        <v>3</v>
      </c>
      <c r="C181" s="23"/>
      <c r="D181" s="362"/>
      <c r="E181" s="22"/>
      <c r="F181" s="22"/>
      <c r="G181" s="362"/>
      <c r="H181" s="362"/>
      <c r="I181" s="362"/>
      <c r="J181" s="611"/>
      <c r="K181" s="31"/>
      <c r="L181" s="31"/>
      <c r="M181" s="31"/>
      <c r="N181" s="31"/>
      <c r="O181" s="10"/>
      <c r="P181" s="278"/>
      <c r="R181" s="16" t="s">
        <v>263</v>
      </c>
      <c r="S181" s="134"/>
    </row>
    <row r="182" spans="1:19" s="29" customFormat="1" ht="13.5">
      <c r="A182" s="278"/>
      <c r="B182" s="568" t="s">
        <v>333</v>
      </c>
      <c r="C182" s="569">
        <v>30000</v>
      </c>
      <c r="D182" s="570">
        <v>16000</v>
      </c>
      <c r="E182" s="571">
        <f>C182</f>
        <v>30000</v>
      </c>
      <c r="F182" s="571">
        <v>30000</v>
      </c>
      <c r="G182" s="570">
        <v>30000</v>
      </c>
      <c r="H182" s="570"/>
      <c r="I182" s="570"/>
      <c r="J182" s="617">
        <v>30000</v>
      </c>
      <c r="K182" s="4"/>
      <c r="L182" s="4"/>
      <c r="M182" s="31"/>
      <c r="N182" s="31"/>
      <c r="O182" s="10"/>
      <c r="P182" s="376"/>
      <c r="R182" s="16">
        <f>J182</f>
        <v>30000</v>
      </c>
      <c r="S182" s="134"/>
    </row>
    <row r="183" spans="1:19" s="29" customFormat="1" ht="13.5">
      <c r="A183" s="278"/>
      <c r="B183" s="572" t="s">
        <v>334</v>
      </c>
      <c r="C183" s="573">
        <v>90000</v>
      </c>
      <c r="D183" s="565">
        <v>70399</v>
      </c>
      <c r="E183" s="566">
        <f>C183</f>
        <v>90000</v>
      </c>
      <c r="F183" s="566">
        <v>90000</v>
      </c>
      <c r="G183" s="565">
        <v>90000</v>
      </c>
      <c r="H183" s="565"/>
      <c r="I183" s="565"/>
      <c r="J183" s="608">
        <v>80000</v>
      </c>
      <c r="K183" s="4"/>
      <c r="L183" s="4"/>
      <c r="M183" s="31"/>
      <c r="N183" s="31"/>
      <c r="O183" s="10"/>
      <c r="P183" s="364"/>
      <c r="R183" s="16">
        <f>J183</f>
        <v>80000</v>
      </c>
      <c r="S183" s="134"/>
    </row>
    <row r="184" spans="1:19" s="29" customFormat="1" ht="13.5">
      <c r="A184" s="278"/>
      <c r="B184" s="572" t="s">
        <v>335</v>
      </c>
      <c r="C184" s="573">
        <v>260000</v>
      </c>
      <c r="D184" s="565">
        <v>110000</v>
      </c>
      <c r="E184" s="566">
        <f>C184</f>
        <v>260000</v>
      </c>
      <c r="F184" s="566">
        <v>260000</v>
      </c>
      <c r="G184" s="565">
        <v>200000</v>
      </c>
      <c r="H184" s="565"/>
      <c r="I184" s="565"/>
      <c r="J184" s="608">
        <v>180000</v>
      </c>
      <c r="K184" s="4"/>
      <c r="L184" s="4"/>
      <c r="M184" s="31"/>
      <c r="N184" s="31"/>
      <c r="O184" s="10"/>
      <c r="P184" s="364"/>
      <c r="R184" s="16">
        <f>J184</f>
        <v>180000</v>
      </c>
      <c r="S184" s="134"/>
    </row>
    <row r="185" spans="1:19" s="29" customFormat="1" ht="14.25" thickBot="1">
      <c r="A185" s="278"/>
      <c r="B185" s="495" t="s">
        <v>4</v>
      </c>
      <c r="C185" s="563">
        <v>758871</v>
      </c>
      <c r="D185" s="555">
        <v>735000</v>
      </c>
      <c r="E185" s="556">
        <v>761136</v>
      </c>
      <c r="F185" s="556">
        <v>761136</v>
      </c>
      <c r="G185" s="555">
        <v>889462</v>
      </c>
      <c r="H185" s="564"/>
      <c r="I185" s="556"/>
      <c r="J185" s="613">
        <f>938642-2000</f>
        <v>936642</v>
      </c>
      <c r="K185" s="4"/>
      <c r="L185" s="4"/>
      <c r="M185" s="31"/>
      <c r="N185" s="31"/>
      <c r="O185" s="10"/>
      <c r="P185" s="377"/>
      <c r="R185" s="16"/>
      <c r="S185" s="134"/>
    </row>
    <row r="186" spans="1:19" s="29" customFormat="1" ht="14.25" thickBot="1">
      <c r="A186" s="278"/>
      <c r="B186" s="490" t="s">
        <v>5</v>
      </c>
      <c r="C186" s="173">
        <f>SUM(C182:C185)</f>
        <v>1138871</v>
      </c>
      <c r="D186" s="360">
        <f>SUM(D182:D185)</f>
        <v>931399</v>
      </c>
      <c r="E186" s="149">
        <f>SUM(E182:E185)</f>
        <v>1141136</v>
      </c>
      <c r="F186" s="149">
        <f>SUM(F182:F185)</f>
        <v>1141136</v>
      </c>
      <c r="G186" s="360">
        <f>SUM(G182:G185)</f>
        <v>1209462</v>
      </c>
      <c r="H186" s="360"/>
      <c r="I186" s="360">
        <f>SUM(I182:I185)</f>
        <v>0</v>
      </c>
      <c r="J186" s="360">
        <f>SUM(J182:J185)</f>
        <v>1226642</v>
      </c>
      <c r="K186" s="51"/>
      <c r="L186" s="85"/>
      <c r="M186" s="51"/>
      <c r="N186" s="51"/>
      <c r="O186" s="83"/>
      <c r="P186" s="278"/>
      <c r="R186" s="510">
        <f>SUM(R182:R185)</f>
        <v>290000</v>
      </c>
      <c r="S186" s="134"/>
    </row>
    <row r="187" spans="1:19" s="29" customFormat="1" ht="7.5" customHeight="1" thickBot="1">
      <c r="A187" s="278"/>
      <c r="B187" s="68"/>
      <c r="C187" s="68"/>
      <c r="D187" s="344"/>
      <c r="E187" s="68"/>
      <c r="F187" s="68"/>
      <c r="G187" s="344"/>
      <c r="H187" s="344"/>
      <c r="I187" s="344"/>
      <c r="J187" s="618"/>
      <c r="P187" s="278"/>
      <c r="S187" s="134"/>
    </row>
    <row r="188" spans="1:19" s="29" customFormat="1" ht="15" thickBot="1" thickTop="1">
      <c r="A188" s="278"/>
      <c r="B188" s="340" t="s">
        <v>224</v>
      </c>
      <c r="C188" s="341"/>
      <c r="D188" s="343">
        <f>D186-D179</f>
        <v>103605</v>
      </c>
      <c r="E188" s="343">
        <f>E186-E179</f>
        <v>0</v>
      </c>
      <c r="F188" s="343">
        <f>F186-F179</f>
        <v>158281</v>
      </c>
      <c r="G188" s="343">
        <f>G186-G179</f>
        <v>0</v>
      </c>
      <c r="H188" s="343"/>
      <c r="I188" s="343">
        <f>I186-I179</f>
        <v>0</v>
      </c>
      <c r="J188" s="610">
        <f>J186-J179</f>
        <v>0</v>
      </c>
      <c r="P188" s="278"/>
      <c r="S188" s="134"/>
    </row>
    <row r="189" spans="1:19" s="29" customFormat="1" ht="10.5" customHeight="1" thickBot="1" thickTop="1">
      <c r="A189" s="278"/>
      <c r="B189" s="68"/>
      <c r="C189" s="68"/>
      <c r="D189" s="68"/>
      <c r="E189" s="68"/>
      <c r="F189" s="68"/>
      <c r="G189" s="344"/>
      <c r="H189" s="344"/>
      <c r="I189" s="344"/>
      <c r="J189" s="618"/>
      <c r="P189" s="278"/>
      <c r="S189" s="134"/>
    </row>
    <row r="190" spans="1:19" s="29" customFormat="1" ht="15" thickBot="1" thickTop="1">
      <c r="A190" s="278"/>
      <c r="B190" s="340" t="s">
        <v>170</v>
      </c>
      <c r="C190" s="341"/>
      <c r="D190" s="343">
        <f aca="true" t="shared" si="4" ref="D190:J190">D188+D166+D132+D109</f>
        <v>233544</v>
      </c>
      <c r="E190" s="343">
        <f t="shared" si="4"/>
        <v>0</v>
      </c>
      <c r="F190" s="343">
        <f t="shared" si="4"/>
        <v>472042</v>
      </c>
      <c r="G190" s="343">
        <f t="shared" si="4"/>
        <v>0</v>
      </c>
      <c r="H190" s="343">
        <f t="shared" si="4"/>
        <v>0</v>
      </c>
      <c r="I190" s="343">
        <f t="shared" si="4"/>
        <v>0</v>
      </c>
      <c r="J190" s="610">
        <f t="shared" si="4"/>
        <v>0</v>
      </c>
      <c r="P190" s="278"/>
      <c r="Q190" s="366" t="s">
        <v>264</v>
      </c>
      <c r="R190" s="503">
        <f>R186+R164+R107</f>
        <v>2850000</v>
      </c>
      <c r="S190" s="134"/>
    </row>
    <row r="191" spans="1:19" s="29" customFormat="1" ht="13.5" thickTop="1">
      <c r="A191" s="278"/>
      <c r="B191" s="68"/>
      <c r="C191" s="68"/>
      <c r="D191" s="68"/>
      <c r="E191" s="68"/>
      <c r="F191" s="68"/>
      <c r="G191" s="344"/>
      <c r="H191" s="344"/>
      <c r="I191" s="344"/>
      <c r="J191" s="618"/>
      <c r="P191" s="278"/>
      <c r="S191" s="134"/>
    </row>
    <row r="192" spans="1:19" s="29" customFormat="1" ht="12.75">
      <c r="A192" s="278"/>
      <c r="B192" s="68"/>
      <c r="C192" s="68"/>
      <c r="D192" s="68"/>
      <c r="E192" s="378" t="s">
        <v>304</v>
      </c>
      <c r="F192" s="378"/>
      <c r="G192" s="344"/>
      <c r="H192" s="344"/>
      <c r="I192" s="379" t="s">
        <v>213</v>
      </c>
      <c r="J192" s="619" t="s">
        <v>316</v>
      </c>
      <c r="P192" s="278" t="s">
        <v>289</v>
      </c>
      <c r="S192" s="134"/>
    </row>
    <row r="193" spans="1:19" s="29" customFormat="1" ht="12.75">
      <c r="A193" s="278"/>
      <c r="B193" s="68" t="s">
        <v>214</v>
      </c>
      <c r="C193" s="68"/>
      <c r="D193" s="68"/>
      <c r="E193" s="380">
        <f>E185+E156+E129+E64</f>
        <v>9877604</v>
      </c>
      <c r="F193" s="380">
        <f>F185+F156+F129+F64</f>
        <v>9877604</v>
      </c>
      <c r="G193" s="380">
        <f>G185+G156+G129+G64</f>
        <v>10578123</v>
      </c>
      <c r="H193" s="344"/>
      <c r="I193" s="380">
        <f>I185+I156+I129+I64</f>
        <v>0</v>
      </c>
      <c r="J193" s="380">
        <f>J185+J156+J129+J64</f>
        <v>12480194</v>
      </c>
      <c r="P193" s="508">
        <f>J193/G193</f>
        <v>1.17981176811803</v>
      </c>
      <c r="S193" s="134"/>
    </row>
    <row r="194" spans="1:19" s="29" customFormat="1" ht="12.75">
      <c r="A194" s="278"/>
      <c r="B194" s="68" t="s">
        <v>336</v>
      </c>
      <c r="C194" s="68"/>
      <c r="D194" s="68"/>
      <c r="E194" s="380"/>
      <c r="F194" s="380"/>
      <c r="G194" s="380">
        <f>G184+G183+G182+G162+G161+G159+G158+G98+G97+G93+G92+G91+G89+G88+G87+G85+G82+G81+G80+G78+G76+G75+G74+G73+G71+G68+G65+G84</f>
        <v>2995000</v>
      </c>
      <c r="H194" s="344"/>
      <c r="I194" s="380"/>
      <c r="J194" s="618">
        <f>R190</f>
        <v>2850000</v>
      </c>
      <c r="P194" s="508">
        <f>J194/G194</f>
        <v>0.9515859766277128</v>
      </c>
      <c r="S194" s="134"/>
    </row>
    <row r="195" spans="1:19" s="29" customFormat="1" ht="12.75">
      <c r="A195" s="278"/>
      <c r="B195" s="68"/>
      <c r="C195" s="68"/>
      <c r="D195" s="68"/>
      <c r="E195" s="68"/>
      <c r="F195" s="68"/>
      <c r="G195" s="380">
        <f>SUM(G193:G194)</f>
        <v>13573123</v>
      </c>
      <c r="H195" s="344"/>
      <c r="I195" s="344"/>
      <c r="J195" s="618">
        <f>SUM(J193:J194)</f>
        <v>15330194</v>
      </c>
      <c r="P195" s="508">
        <f>J195/G195</f>
        <v>1.1294522270224767</v>
      </c>
      <c r="S195" s="134"/>
    </row>
    <row r="196" spans="2:21" ht="12.75">
      <c r="B196" s="63" t="s">
        <v>215</v>
      </c>
      <c r="C196" s="63"/>
      <c r="D196" s="63"/>
      <c r="E196" s="381">
        <f>E175+E149+E122+E15</f>
        <v>5698869</v>
      </c>
      <c r="F196" s="381">
        <f>F175+F149+F122+F15</f>
        <v>5516606</v>
      </c>
      <c r="G196" s="381">
        <f>G175+G149+G122+G15</f>
        <v>6701795</v>
      </c>
      <c r="H196" s="368"/>
      <c r="I196" s="381">
        <f>I175+I149+I122+I15</f>
        <v>0</v>
      </c>
      <c r="J196" s="381">
        <f>J175+J149+J122+J15</f>
        <v>7518643</v>
      </c>
      <c r="P196" s="508">
        <f>J196/G196</f>
        <v>1.1218849576867094</v>
      </c>
      <c r="T196" s="29"/>
      <c r="U196" s="29"/>
    </row>
    <row r="197" spans="20:21" ht="12.75">
      <c r="T197" s="29"/>
      <c r="U197" s="29"/>
    </row>
    <row r="198" spans="2:21" ht="12.75">
      <c r="B198" s="68"/>
      <c r="T198" s="29"/>
      <c r="U198" s="29"/>
    </row>
    <row r="199" ht="12.75">
      <c r="B199" s="68"/>
    </row>
    <row r="200" ht="12.75">
      <c r="B200" s="63"/>
    </row>
  </sheetData>
  <sheetProtection/>
  <mergeCells count="5">
    <mergeCell ref="B1:O1"/>
    <mergeCell ref="B2:O2"/>
    <mergeCell ref="B111:L111"/>
    <mergeCell ref="B134:O134"/>
    <mergeCell ref="B168:O168"/>
  </mergeCells>
  <printOptions/>
  <pageMargins left="0.7" right="0.7" top="0.787401575" bottom="0.787401575" header="0.3" footer="0.3"/>
  <pageSetup horizontalDpi="600" verticalDpi="600" orientation="portrait" paperSize="9" scale="52" r:id="rId1"/>
  <rowBreaks count="1" manualBreakCount="1">
    <brk id="109" max="255" man="1"/>
  </rowBreaks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200"/>
  <sheetViews>
    <sheetView zoomScalePageLayoutView="0" workbookViewId="0" topLeftCell="A141">
      <selection activeCell="A169" sqref="A1:IV16384"/>
    </sheetView>
  </sheetViews>
  <sheetFormatPr defaultColWidth="9.00390625" defaultRowHeight="12.75"/>
  <cols>
    <col min="1" max="1" width="4.375" style="124" customWidth="1"/>
    <col min="2" max="2" width="44.00390625" style="0" customWidth="1"/>
    <col min="3" max="4" width="12.875" style="0" customWidth="1"/>
    <col min="5" max="6" width="12.125" style="0" customWidth="1"/>
    <col min="7" max="8" width="12.00390625" style="382" customWidth="1"/>
    <col min="9" max="9" width="13.00390625" style="382" hidden="1" customWidth="1"/>
    <col min="10" max="10" width="15.00390625" style="611" customWidth="1"/>
    <col min="11" max="11" width="8.50390625" style="0" hidden="1" customWidth="1"/>
    <col min="12" max="15" width="9.125" style="0" hidden="1" customWidth="1"/>
    <col min="16" max="16" width="28.375" style="124" customWidth="1"/>
    <col min="17" max="17" width="9.50390625" style="0" customWidth="1"/>
    <col min="18" max="18" width="10.875" style="0" customWidth="1"/>
    <col min="19" max="19" width="9.125" style="500" customWidth="1"/>
  </cols>
  <sheetData>
    <row r="1" spans="2:15" ht="20.25">
      <c r="B1" s="872" t="s">
        <v>301</v>
      </c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</row>
    <row r="2" spans="2:18" ht="20.25">
      <c r="B2" s="873" t="s">
        <v>6</v>
      </c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R2" t="s">
        <v>173</v>
      </c>
    </row>
    <row r="3" spans="1:19" s="10" customFormat="1" ht="5.25" customHeight="1">
      <c r="A3" s="347"/>
      <c r="B3" s="8"/>
      <c r="C3" s="9"/>
      <c r="D3" s="9"/>
      <c r="E3" s="9"/>
      <c r="F3" s="9"/>
      <c r="G3" s="348"/>
      <c r="H3" s="348"/>
      <c r="I3" s="348"/>
      <c r="J3" s="597"/>
      <c r="K3" s="9"/>
      <c r="L3" s="36"/>
      <c r="M3" s="1"/>
      <c r="N3" s="1"/>
      <c r="O3" s="41"/>
      <c r="P3" s="347"/>
      <c r="S3" s="513"/>
    </row>
    <row r="4" spans="1:23" s="10" customFormat="1" ht="11.25" customHeight="1" thickBot="1">
      <c r="A4" s="347"/>
      <c r="B4" s="8"/>
      <c r="C4" s="9"/>
      <c r="D4" s="9"/>
      <c r="E4" s="9"/>
      <c r="F4" s="9"/>
      <c r="G4" s="348"/>
      <c r="H4" s="348"/>
      <c r="I4" s="348"/>
      <c r="J4" s="597"/>
      <c r="K4" s="9"/>
      <c r="L4" s="36"/>
      <c r="M4" s="1"/>
      <c r="N4" s="1"/>
      <c r="O4" s="41"/>
      <c r="P4" s="347"/>
      <c r="Q4" s="131"/>
      <c r="R4" s="131"/>
      <c r="S4" s="502"/>
      <c r="T4" s="29"/>
      <c r="U4" s="29"/>
      <c r="V4" s="29"/>
      <c r="W4" s="29"/>
    </row>
    <row r="5" spans="2:23" ht="15">
      <c r="B5" s="89" t="s">
        <v>7</v>
      </c>
      <c r="C5" s="93" t="s">
        <v>299</v>
      </c>
      <c r="D5" s="350" t="s">
        <v>137</v>
      </c>
      <c r="E5" s="93" t="s">
        <v>299</v>
      </c>
      <c r="F5" s="350" t="s">
        <v>137</v>
      </c>
      <c r="G5" s="93" t="s">
        <v>299</v>
      </c>
      <c r="H5" s="350" t="s">
        <v>338</v>
      </c>
      <c r="I5" s="383" t="s">
        <v>302</v>
      </c>
      <c r="J5" s="386" t="s">
        <v>165</v>
      </c>
      <c r="K5" s="181"/>
      <c r="L5" s="415"/>
      <c r="M5" s="416"/>
      <c r="N5" s="416"/>
      <c r="O5" s="417"/>
      <c r="P5" s="351" t="s">
        <v>136</v>
      </c>
      <c r="Q5" s="131"/>
      <c r="R5" s="25"/>
      <c r="S5" s="57"/>
      <c r="T5" s="29"/>
      <c r="U5" s="29"/>
      <c r="V5" s="29"/>
      <c r="W5" s="29"/>
    </row>
    <row r="6" spans="2:23" ht="15.75" thickBot="1">
      <c r="B6" s="369"/>
      <c r="C6" s="539">
        <v>2015</v>
      </c>
      <c r="D6" s="353">
        <v>2015</v>
      </c>
      <c r="E6" s="540">
        <v>2016</v>
      </c>
      <c r="F6" s="540">
        <v>2016</v>
      </c>
      <c r="G6" s="353">
        <v>2017</v>
      </c>
      <c r="H6" s="418" t="s">
        <v>339</v>
      </c>
      <c r="I6" s="418" t="s">
        <v>303</v>
      </c>
      <c r="J6" s="395" t="s">
        <v>300</v>
      </c>
      <c r="K6" s="182"/>
      <c r="L6" s="419"/>
      <c r="M6" s="420"/>
      <c r="N6" s="420"/>
      <c r="O6" s="421"/>
      <c r="P6" s="355"/>
      <c r="Q6" s="29"/>
      <c r="R6" s="29"/>
      <c r="S6" s="134"/>
      <c r="T6" s="29"/>
      <c r="U6" s="29"/>
      <c r="V6" s="29"/>
      <c r="W6" s="29"/>
    </row>
    <row r="7" spans="1:23" s="2" customFormat="1" ht="12.75" customHeight="1">
      <c r="A7" s="124"/>
      <c r="B7" s="532" t="s">
        <v>307</v>
      </c>
      <c r="C7" s="426">
        <v>1200000</v>
      </c>
      <c r="D7" s="411">
        <v>180273</v>
      </c>
      <c r="E7" s="410">
        <v>203000</v>
      </c>
      <c r="F7" s="410">
        <v>182957</v>
      </c>
      <c r="G7" s="411">
        <v>200000</v>
      </c>
      <c r="H7" s="411">
        <v>79385</v>
      </c>
      <c r="I7" s="411"/>
      <c r="J7" s="601">
        <v>204000</v>
      </c>
      <c r="K7" s="4"/>
      <c r="L7" s="26"/>
      <c r="M7" s="65"/>
      <c r="N7" s="65"/>
      <c r="O7" s="69"/>
      <c r="P7" s="633">
        <v>0.05</v>
      </c>
      <c r="Q7" s="57"/>
      <c r="R7" s="57"/>
      <c r="S7" s="57"/>
      <c r="T7" s="70"/>
      <c r="U7" s="70"/>
      <c r="V7" s="70"/>
      <c r="W7" s="70"/>
    </row>
    <row r="8" spans="1:23" s="2" customFormat="1" ht="12.75" customHeight="1">
      <c r="A8" s="124"/>
      <c r="B8" s="533" t="s">
        <v>305</v>
      </c>
      <c r="C8" s="427"/>
      <c r="D8" s="398">
        <v>108606</v>
      </c>
      <c r="E8" s="397">
        <v>77000</v>
      </c>
      <c r="F8" s="397">
        <v>70712</v>
      </c>
      <c r="G8" s="398">
        <v>90000</v>
      </c>
      <c r="H8" s="398">
        <v>34564</v>
      </c>
      <c r="I8" s="398"/>
      <c r="J8" s="630">
        <v>91800</v>
      </c>
      <c r="K8" s="4"/>
      <c r="L8" s="26"/>
      <c r="M8" s="65"/>
      <c r="N8" s="65"/>
      <c r="O8" s="69"/>
      <c r="P8" s="634">
        <v>0.05</v>
      </c>
      <c r="Q8" s="57"/>
      <c r="R8" s="57"/>
      <c r="S8" s="57"/>
      <c r="T8" s="70"/>
      <c r="U8" s="70"/>
      <c r="V8" s="70"/>
      <c r="W8" s="70"/>
    </row>
    <row r="9" spans="1:23" s="2" customFormat="1" ht="12.75" customHeight="1">
      <c r="A9" s="124"/>
      <c r="B9" s="533" t="s">
        <v>306</v>
      </c>
      <c r="C9" s="428"/>
      <c r="D9" s="423">
        <v>850526</v>
      </c>
      <c r="E9" s="422">
        <v>920000</v>
      </c>
      <c r="F9" s="422">
        <v>958122</v>
      </c>
      <c r="G9" s="423">
        <v>1000000</v>
      </c>
      <c r="H9" s="423">
        <v>631118</v>
      </c>
      <c r="I9" s="423"/>
      <c r="J9" s="631">
        <v>1020000</v>
      </c>
      <c r="K9" s="4"/>
      <c r="L9" s="26"/>
      <c r="M9" s="65"/>
      <c r="N9" s="65"/>
      <c r="O9" s="69"/>
      <c r="P9" s="358">
        <v>0.1</v>
      </c>
      <c r="Q9" s="57"/>
      <c r="R9" s="57"/>
      <c r="S9" s="57"/>
      <c r="T9" s="70"/>
      <c r="U9" s="70"/>
      <c r="V9" s="70"/>
      <c r="W9" s="70"/>
    </row>
    <row r="10" spans="1:23" s="2" customFormat="1" ht="12.75" customHeight="1">
      <c r="A10" s="124"/>
      <c r="B10" s="534" t="s">
        <v>1</v>
      </c>
      <c r="C10" s="426">
        <v>50000</v>
      </c>
      <c r="D10" s="411">
        <v>7811</v>
      </c>
      <c r="E10" s="410">
        <f>C10</f>
        <v>50000</v>
      </c>
      <c r="F10" s="410">
        <v>12631</v>
      </c>
      <c r="G10" s="411">
        <v>50000</v>
      </c>
      <c r="H10" s="411">
        <v>25991</v>
      </c>
      <c r="I10" s="412"/>
      <c r="J10" s="601">
        <v>50000</v>
      </c>
      <c r="K10" s="4"/>
      <c r="L10" s="26"/>
      <c r="M10" s="65"/>
      <c r="N10" s="65"/>
      <c r="O10" s="69"/>
      <c r="P10" s="357"/>
      <c r="Q10" s="57"/>
      <c r="R10" s="57"/>
      <c r="S10" s="57"/>
      <c r="T10" s="70"/>
      <c r="U10" s="70"/>
      <c r="V10" s="70"/>
      <c r="W10" s="70"/>
    </row>
    <row r="11" spans="1:23" s="2" customFormat="1" ht="12.75" customHeight="1">
      <c r="A11" s="124"/>
      <c r="B11" s="527" t="s">
        <v>8</v>
      </c>
      <c r="C11" s="427">
        <v>395000</v>
      </c>
      <c r="D11" s="398">
        <v>357616</v>
      </c>
      <c r="E11" s="397">
        <f>C11</f>
        <v>395000</v>
      </c>
      <c r="F11" s="397">
        <v>443970</v>
      </c>
      <c r="G11" s="398">
        <v>403000</v>
      </c>
      <c r="H11" s="398">
        <v>84691</v>
      </c>
      <c r="I11" s="399"/>
      <c r="J11" s="602">
        <v>410000</v>
      </c>
      <c r="K11" s="4"/>
      <c r="L11" s="26"/>
      <c r="M11" s="65"/>
      <c r="N11" s="65"/>
      <c r="O11" s="69"/>
      <c r="P11" s="357"/>
      <c r="Q11" s="57"/>
      <c r="R11" s="57"/>
      <c r="S11" s="57"/>
      <c r="T11" s="70"/>
      <c r="U11" s="70"/>
      <c r="V11" s="70"/>
      <c r="W11" s="70"/>
    </row>
    <row r="12" spans="1:23" s="2" customFormat="1" ht="12.75" customHeight="1">
      <c r="A12" s="124"/>
      <c r="B12" s="527" t="s">
        <v>18</v>
      </c>
      <c r="C12" s="427">
        <v>3300000</v>
      </c>
      <c r="D12" s="398">
        <f>3456317-D22</f>
        <v>3419317</v>
      </c>
      <c r="E12" s="397">
        <v>3074132</v>
      </c>
      <c r="F12" s="397">
        <v>2755358</v>
      </c>
      <c r="G12" s="398">
        <v>1870000</v>
      </c>
      <c r="H12" s="398">
        <v>1242344</v>
      </c>
      <c r="I12" s="399"/>
      <c r="J12" s="602">
        <v>1907000</v>
      </c>
      <c r="K12" s="4"/>
      <c r="L12" s="26"/>
      <c r="M12" s="65"/>
      <c r="N12" s="65"/>
      <c r="O12" s="69"/>
      <c r="P12" s="357" t="s">
        <v>347</v>
      </c>
      <c r="Q12" s="57"/>
      <c r="R12" s="57"/>
      <c r="S12" s="57"/>
      <c r="T12" s="70"/>
      <c r="U12" s="70"/>
      <c r="V12" s="70"/>
      <c r="W12" s="70"/>
    </row>
    <row r="13" spans="1:23" s="2" customFormat="1" ht="12.75" customHeight="1">
      <c r="A13" s="124"/>
      <c r="B13" s="527" t="s">
        <v>9</v>
      </c>
      <c r="C13" s="427">
        <v>230000</v>
      </c>
      <c r="D13" s="398">
        <v>318</v>
      </c>
      <c r="E13" s="397">
        <f>C13</f>
        <v>230000</v>
      </c>
      <c r="F13" s="397">
        <v>383291</v>
      </c>
      <c r="G13" s="398">
        <v>1040000</v>
      </c>
      <c r="H13" s="398">
        <v>433287</v>
      </c>
      <c r="I13" s="399"/>
      <c r="J13" s="602">
        <v>1190000</v>
      </c>
      <c r="K13" s="4"/>
      <c r="L13" s="26"/>
      <c r="M13" s="65"/>
      <c r="N13" s="65"/>
      <c r="O13" s="69"/>
      <c r="P13" s="357" t="s">
        <v>346</v>
      </c>
      <c r="Q13" s="57"/>
      <c r="R13" s="57"/>
      <c r="S13" s="57"/>
      <c r="T13" s="70"/>
      <c r="U13" s="70"/>
      <c r="V13" s="70"/>
      <c r="W13" s="70"/>
    </row>
    <row r="14" spans="1:23" s="2" customFormat="1" ht="12.75" customHeight="1">
      <c r="A14" s="124"/>
      <c r="B14" s="636" t="s">
        <v>345</v>
      </c>
      <c r="C14" s="635"/>
      <c r="D14" s="403"/>
      <c r="E14" s="402"/>
      <c r="F14" s="402"/>
      <c r="G14" s="403"/>
      <c r="H14" s="403"/>
      <c r="I14" s="637"/>
      <c r="J14" s="638"/>
      <c r="K14" s="4"/>
      <c r="L14" s="26"/>
      <c r="M14" s="65"/>
      <c r="N14" s="65"/>
      <c r="O14" s="69"/>
      <c r="P14" s="357"/>
      <c r="Q14" s="57"/>
      <c r="R14" s="57"/>
      <c r="S14" s="57"/>
      <c r="T14" s="70"/>
      <c r="U14" s="70"/>
      <c r="V14" s="70"/>
      <c r="W14" s="70"/>
    </row>
    <row r="15" spans="1:23" s="2" customFormat="1" ht="12.75" customHeight="1">
      <c r="A15" s="124"/>
      <c r="B15" s="545" t="s">
        <v>10</v>
      </c>
      <c r="C15" s="546">
        <v>3950254</v>
      </c>
      <c r="D15" s="547">
        <v>3339761</v>
      </c>
      <c r="E15" s="548">
        <v>4010430</v>
      </c>
      <c r="F15" s="548">
        <v>3952290</v>
      </c>
      <c r="G15" s="547">
        <v>4615045</v>
      </c>
      <c r="H15" s="547">
        <v>1683327</v>
      </c>
      <c r="I15" s="547"/>
      <c r="J15" s="632">
        <v>5025161</v>
      </c>
      <c r="K15" s="4"/>
      <c r="L15" s="26"/>
      <c r="M15" s="81"/>
      <c r="N15" s="81"/>
      <c r="O15" s="69"/>
      <c r="P15" s="357" t="s">
        <v>352</v>
      </c>
      <c r="Q15" s="124" t="s">
        <v>174</v>
      </c>
      <c r="R15" s="57"/>
      <c r="S15" s="514" t="s">
        <v>291</v>
      </c>
      <c r="T15" s="70"/>
      <c r="U15" s="70"/>
      <c r="V15" s="70"/>
      <c r="W15" s="70"/>
    </row>
    <row r="16" spans="1:23" s="2" customFormat="1" ht="12.75" customHeight="1">
      <c r="A16" s="124">
        <v>1601</v>
      </c>
      <c r="B16" s="518" t="s">
        <v>349</v>
      </c>
      <c r="C16" s="427">
        <v>950000</v>
      </c>
      <c r="D16" s="398">
        <v>1299917</v>
      </c>
      <c r="E16" s="404">
        <f>C16</f>
        <v>950000</v>
      </c>
      <c r="F16" s="404">
        <v>895685</v>
      </c>
      <c r="G16" s="398">
        <v>1004000</v>
      </c>
      <c r="H16" s="398">
        <v>51774</v>
      </c>
      <c r="I16" s="398"/>
      <c r="J16" s="602">
        <f>1374500-50000-160000-50000</f>
        <v>1114500</v>
      </c>
      <c r="K16" s="4"/>
      <c r="L16" s="53"/>
      <c r="M16" s="65"/>
      <c r="N16" s="65"/>
      <c r="O16" s="69"/>
      <c r="P16" s="357" t="s">
        <v>231</v>
      </c>
      <c r="Q16" s="57">
        <f>J16</f>
        <v>1114500</v>
      </c>
      <c r="R16" s="348"/>
      <c r="S16" s="57">
        <f>52500+12000</f>
        <v>64500</v>
      </c>
      <c r="T16" s="70"/>
      <c r="U16" s="70"/>
      <c r="V16" s="70"/>
      <c r="W16" s="70"/>
    </row>
    <row r="17" spans="1:23" s="2" customFormat="1" ht="12.75" customHeight="1">
      <c r="A17" s="124"/>
      <c r="B17" s="535" t="s">
        <v>310</v>
      </c>
      <c r="C17" s="429"/>
      <c r="D17" s="406"/>
      <c r="E17" s="405">
        <v>130000</v>
      </c>
      <c r="F17" s="405">
        <v>130000</v>
      </c>
      <c r="G17" s="406"/>
      <c r="H17" s="406"/>
      <c r="I17" s="406"/>
      <c r="J17" s="602"/>
      <c r="K17" s="4"/>
      <c r="L17" s="53"/>
      <c r="M17" s="65"/>
      <c r="N17" s="65"/>
      <c r="O17" s="69"/>
      <c r="P17" s="357"/>
      <c r="Q17" s="57"/>
      <c r="R17" s="348"/>
      <c r="S17" s="57"/>
      <c r="T17" s="70"/>
      <c r="U17" s="70"/>
      <c r="V17" s="70"/>
      <c r="W17" s="70"/>
    </row>
    <row r="18" spans="1:23" s="2" customFormat="1" ht="12.75" customHeight="1">
      <c r="A18" s="124"/>
      <c r="B18" s="535" t="s">
        <v>309</v>
      </c>
      <c r="C18" s="429"/>
      <c r="D18" s="406"/>
      <c r="E18" s="405">
        <v>30000</v>
      </c>
      <c r="F18" s="405">
        <v>30000</v>
      </c>
      <c r="G18" s="406">
        <v>50000</v>
      </c>
      <c r="H18" s="406"/>
      <c r="I18" s="406"/>
      <c r="J18" s="602"/>
      <c r="K18" s="4"/>
      <c r="L18" s="53"/>
      <c r="M18" s="65"/>
      <c r="N18" s="65"/>
      <c r="O18" s="69"/>
      <c r="P18" s="357"/>
      <c r="Q18" s="57"/>
      <c r="R18" s="348"/>
      <c r="S18" s="57"/>
      <c r="T18" s="70"/>
      <c r="U18" s="70"/>
      <c r="V18" s="70"/>
      <c r="W18" s="70"/>
    </row>
    <row r="19" spans="1:23" s="2" customFormat="1" ht="12.75" customHeight="1">
      <c r="A19" s="124"/>
      <c r="B19" s="535" t="s">
        <v>337</v>
      </c>
      <c r="C19" s="429"/>
      <c r="D19" s="406"/>
      <c r="E19" s="405"/>
      <c r="F19" s="405"/>
      <c r="G19" s="406">
        <v>50000</v>
      </c>
      <c r="H19" s="406">
        <v>8815</v>
      </c>
      <c r="I19" s="406"/>
      <c r="J19" s="602">
        <v>50000</v>
      </c>
      <c r="K19" s="4"/>
      <c r="L19" s="53"/>
      <c r="M19" s="65"/>
      <c r="N19" s="65"/>
      <c r="O19" s="69"/>
      <c r="P19" s="357" t="s">
        <v>232</v>
      </c>
      <c r="Q19" s="57">
        <f>J19</f>
        <v>50000</v>
      </c>
      <c r="R19" s="348"/>
      <c r="S19" s="57"/>
      <c r="T19" s="70"/>
      <c r="U19" s="70"/>
      <c r="V19" s="70"/>
      <c r="W19" s="70"/>
    </row>
    <row r="20" spans="1:23" s="2" customFormat="1" ht="12.75" customHeight="1">
      <c r="A20" s="124">
        <v>1902</v>
      </c>
      <c r="B20" s="518" t="s">
        <v>139</v>
      </c>
      <c r="C20" s="427">
        <v>100000</v>
      </c>
      <c r="D20" s="398">
        <v>2815</v>
      </c>
      <c r="E20" s="404">
        <f>C20</f>
        <v>100000</v>
      </c>
      <c r="F20" s="404">
        <v>36664</v>
      </c>
      <c r="G20" s="398">
        <v>50000</v>
      </c>
      <c r="H20" s="398">
        <v>21502</v>
      </c>
      <c r="I20" s="398"/>
      <c r="J20" s="602">
        <v>50000</v>
      </c>
      <c r="K20" s="4"/>
      <c r="L20" s="53"/>
      <c r="M20" s="65"/>
      <c r="N20" s="65"/>
      <c r="O20" s="69"/>
      <c r="P20" s="357" t="s">
        <v>350</v>
      </c>
      <c r="Q20" s="57"/>
      <c r="R20" s="348"/>
      <c r="S20" s="57"/>
      <c r="T20" s="70"/>
      <c r="U20" s="70"/>
      <c r="V20" s="70"/>
      <c r="W20" s="70"/>
    </row>
    <row r="21" spans="1:23" s="2" customFormat="1" ht="12.75" customHeight="1">
      <c r="A21" s="124">
        <v>1306</v>
      </c>
      <c r="B21" s="518" t="s">
        <v>69</v>
      </c>
      <c r="C21" s="430">
        <v>30000</v>
      </c>
      <c r="D21" s="398">
        <v>40346</v>
      </c>
      <c r="E21" s="404">
        <f>C21</f>
        <v>30000</v>
      </c>
      <c r="F21" s="404">
        <v>45600</v>
      </c>
      <c r="G21" s="398">
        <v>42000</v>
      </c>
      <c r="H21" s="398"/>
      <c r="I21" s="398"/>
      <c r="J21" s="602">
        <v>50000</v>
      </c>
      <c r="K21" s="4"/>
      <c r="L21" s="53"/>
      <c r="M21" s="65"/>
      <c r="N21" s="65"/>
      <c r="O21" s="69"/>
      <c r="P21" s="357" t="s">
        <v>233</v>
      </c>
      <c r="Q21" s="57">
        <f>J21</f>
        <v>50000</v>
      </c>
      <c r="R21" s="348"/>
      <c r="S21" s="57"/>
      <c r="T21" s="70"/>
      <c r="U21" s="70"/>
      <c r="V21" s="70"/>
      <c r="W21" s="70"/>
    </row>
    <row r="22" spans="1:23" s="2" customFormat="1" ht="12.75" customHeight="1">
      <c r="A22" s="124">
        <v>1317</v>
      </c>
      <c r="B22" s="518" t="s">
        <v>176</v>
      </c>
      <c r="C22" s="430"/>
      <c r="D22" s="398">
        <v>37000</v>
      </c>
      <c r="E22" s="404"/>
      <c r="F22" s="404"/>
      <c r="G22" s="398"/>
      <c r="H22" s="398"/>
      <c r="I22" s="398"/>
      <c r="J22" s="602"/>
      <c r="K22" s="4"/>
      <c r="L22" s="53"/>
      <c r="M22" s="65"/>
      <c r="N22" s="65"/>
      <c r="O22" s="69"/>
      <c r="P22" s="357"/>
      <c r="Q22" s="57"/>
      <c r="R22" s="348"/>
      <c r="S22" s="57"/>
      <c r="T22" s="70"/>
      <c r="U22" s="70"/>
      <c r="V22" s="70"/>
      <c r="W22" s="70"/>
    </row>
    <row r="23" spans="1:23" s="2" customFormat="1" ht="12.75" customHeight="1">
      <c r="A23" s="124">
        <v>1313</v>
      </c>
      <c r="B23" s="518" t="s">
        <v>24</v>
      </c>
      <c r="C23" s="430">
        <v>40000</v>
      </c>
      <c r="D23" s="398">
        <v>37752</v>
      </c>
      <c r="E23" s="404">
        <f>C23</f>
        <v>40000</v>
      </c>
      <c r="F23" s="404">
        <v>33632</v>
      </c>
      <c r="G23" s="398">
        <v>60000</v>
      </c>
      <c r="H23" s="398">
        <v>11920</v>
      </c>
      <c r="I23" s="398"/>
      <c r="J23" s="602">
        <f>60000-30000</f>
        <v>30000</v>
      </c>
      <c r="K23" s="4"/>
      <c r="L23" s="53"/>
      <c r="M23" s="65"/>
      <c r="N23" s="65"/>
      <c r="O23" s="69"/>
      <c r="P23" s="357" t="s">
        <v>340</v>
      </c>
      <c r="Q23" s="57">
        <f aca="true" t="shared" si="0" ref="Q23:Q29">J23</f>
        <v>30000</v>
      </c>
      <c r="R23" s="348"/>
      <c r="S23" s="57"/>
      <c r="T23" s="70"/>
      <c r="U23" s="70"/>
      <c r="V23" s="70"/>
      <c r="W23" s="70"/>
    </row>
    <row r="24" spans="1:23" s="2" customFormat="1" ht="12.75" customHeight="1">
      <c r="A24" s="124">
        <v>1318</v>
      </c>
      <c r="B24" s="518" t="s">
        <v>25</v>
      </c>
      <c r="C24" s="430">
        <v>40000</v>
      </c>
      <c r="D24" s="398">
        <v>28894</v>
      </c>
      <c r="E24" s="404">
        <v>15265</v>
      </c>
      <c r="F24" s="404">
        <v>15801</v>
      </c>
      <c r="G24" s="398">
        <v>40000</v>
      </c>
      <c r="H24" s="398">
        <v>19699</v>
      </c>
      <c r="I24" s="398"/>
      <c r="J24" s="602">
        <v>19000</v>
      </c>
      <c r="K24" s="4"/>
      <c r="L24" s="53"/>
      <c r="M24" s="65"/>
      <c r="N24" s="65"/>
      <c r="O24" s="69"/>
      <c r="P24" s="357" t="s">
        <v>236</v>
      </c>
      <c r="Q24" s="57">
        <f t="shared" si="0"/>
        <v>19000</v>
      </c>
      <c r="R24" s="348"/>
      <c r="S24" s="57">
        <v>9000</v>
      </c>
      <c r="T24" s="70"/>
      <c r="U24" s="70"/>
      <c r="V24" s="70"/>
      <c r="W24" s="70"/>
    </row>
    <row r="25" spans="1:23" s="2" customFormat="1" ht="12.75" customHeight="1">
      <c r="A25" s="124">
        <v>1311</v>
      </c>
      <c r="B25" s="518" t="s">
        <v>26</v>
      </c>
      <c r="C25" s="430">
        <v>120000</v>
      </c>
      <c r="D25" s="398">
        <v>135729</v>
      </c>
      <c r="E25" s="404">
        <v>127328</v>
      </c>
      <c r="F25" s="404">
        <v>117696</v>
      </c>
      <c r="G25" s="398">
        <v>130000</v>
      </c>
      <c r="H25" s="398"/>
      <c r="I25" s="398"/>
      <c r="J25" s="602">
        <v>130000</v>
      </c>
      <c r="K25" s="4"/>
      <c r="L25" s="53"/>
      <c r="M25" s="65"/>
      <c r="N25" s="65"/>
      <c r="O25" s="69"/>
      <c r="P25" s="357" t="s">
        <v>141</v>
      </c>
      <c r="Q25" s="57">
        <f t="shared" si="0"/>
        <v>130000</v>
      </c>
      <c r="R25" s="348"/>
      <c r="S25" s="57"/>
      <c r="T25" s="70"/>
      <c r="U25" s="70"/>
      <c r="V25" s="70"/>
      <c r="W25" s="70"/>
    </row>
    <row r="26" spans="1:23" s="2" customFormat="1" ht="12.75" customHeight="1">
      <c r="A26" s="124">
        <v>1500</v>
      </c>
      <c r="B26" s="518" t="s">
        <v>20</v>
      </c>
      <c r="C26" s="430">
        <v>402930</v>
      </c>
      <c r="D26" s="398">
        <v>452092</v>
      </c>
      <c r="E26" s="404">
        <v>510154</v>
      </c>
      <c r="F26" s="404">
        <v>628230</v>
      </c>
      <c r="G26" s="398"/>
      <c r="H26" s="398">
        <v>40635</v>
      </c>
      <c r="I26" s="398"/>
      <c r="J26" s="602"/>
      <c r="K26" s="4"/>
      <c r="L26" s="53"/>
      <c r="M26" s="65"/>
      <c r="N26" s="65"/>
      <c r="O26" s="69"/>
      <c r="P26" s="357"/>
      <c r="Q26" s="57">
        <f t="shared" si="0"/>
        <v>0</v>
      </c>
      <c r="R26" s="348"/>
      <c r="S26" s="57"/>
      <c r="T26" s="70"/>
      <c r="U26" s="70"/>
      <c r="V26" s="70"/>
      <c r="W26" s="70"/>
    </row>
    <row r="27" spans="1:23" s="2" customFormat="1" ht="12.75" customHeight="1">
      <c r="A27" s="124">
        <v>1323</v>
      </c>
      <c r="B27" s="518" t="s">
        <v>40</v>
      </c>
      <c r="C27" s="430">
        <v>50000</v>
      </c>
      <c r="D27" s="398">
        <v>26825</v>
      </c>
      <c r="E27" s="404">
        <v>15397</v>
      </c>
      <c r="F27" s="404">
        <v>15397</v>
      </c>
      <c r="G27" s="398">
        <v>30000</v>
      </c>
      <c r="H27" s="398">
        <v>16672</v>
      </c>
      <c r="I27" s="398"/>
      <c r="J27" s="602">
        <v>30000</v>
      </c>
      <c r="K27" s="4"/>
      <c r="L27" s="53"/>
      <c r="M27" s="65"/>
      <c r="N27" s="65"/>
      <c r="O27" s="69"/>
      <c r="P27" s="357" t="s">
        <v>238</v>
      </c>
      <c r="Q27" s="57">
        <f t="shared" si="0"/>
        <v>30000</v>
      </c>
      <c r="R27" s="348"/>
      <c r="S27" s="57">
        <v>12000</v>
      </c>
      <c r="T27" s="70"/>
      <c r="U27" s="70"/>
      <c r="V27" s="70"/>
      <c r="W27" s="70"/>
    </row>
    <row r="28" spans="1:23" s="2" customFormat="1" ht="12.75" customHeight="1">
      <c r="A28" s="124">
        <v>1324</v>
      </c>
      <c r="B28" s="518" t="s">
        <v>41</v>
      </c>
      <c r="C28" s="430">
        <v>30000</v>
      </c>
      <c r="D28" s="398">
        <v>64487</v>
      </c>
      <c r="E28" s="404">
        <f>C28</f>
        <v>30000</v>
      </c>
      <c r="F28" s="404">
        <v>42642</v>
      </c>
      <c r="G28" s="398">
        <v>60000</v>
      </c>
      <c r="H28" s="398">
        <v>29980</v>
      </c>
      <c r="I28" s="398"/>
      <c r="J28" s="602">
        <v>70000</v>
      </c>
      <c r="K28" s="4"/>
      <c r="L28" s="53"/>
      <c r="M28" s="65"/>
      <c r="N28" s="65"/>
      <c r="O28" s="69"/>
      <c r="P28" s="357" t="s">
        <v>239</v>
      </c>
      <c r="Q28" s="57">
        <f t="shared" si="0"/>
        <v>70000</v>
      </c>
      <c r="R28" s="348"/>
      <c r="S28" s="57">
        <v>50000</v>
      </c>
      <c r="T28" s="70"/>
      <c r="U28" s="70"/>
      <c r="V28" s="70"/>
      <c r="W28" s="70"/>
    </row>
    <row r="29" spans="1:23" s="2" customFormat="1" ht="12.75" customHeight="1">
      <c r="A29" s="124">
        <v>1325</v>
      </c>
      <c r="B29" s="518" t="s">
        <v>177</v>
      </c>
      <c r="C29" s="430">
        <v>80000</v>
      </c>
      <c r="D29" s="398">
        <v>291326</v>
      </c>
      <c r="E29" s="404">
        <v>316888</v>
      </c>
      <c r="F29" s="404">
        <v>316888</v>
      </c>
      <c r="G29" s="398">
        <v>330000</v>
      </c>
      <c r="H29" s="398">
        <v>309354</v>
      </c>
      <c r="I29" s="398"/>
      <c r="J29" s="602">
        <f>355000-40000-50000</f>
        <v>265000</v>
      </c>
      <c r="K29" s="4"/>
      <c r="L29" s="53"/>
      <c r="M29" s="65"/>
      <c r="N29" s="65"/>
      <c r="O29" s="69"/>
      <c r="P29" s="357" t="s">
        <v>240</v>
      </c>
      <c r="Q29" s="57">
        <f t="shared" si="0"/>
        <v>265000</v>
      </c>
      <c r="R29" s="348"/>
      <c r="S29" s="57">
        <v>75000</v>
      </c>
      <c r="T29" s="70"/>
      <c r="U29" s="70"/>
      <c r="V29" s="70"/>
      <c r="W29" s="70"/>
    </row>
    <row r="30" spans="1:23" s="2" customFormat="1" ht="12.75" customHeight="1">
      <c r="A30" s="124"/>
      <c r="B30" s="535" t="s">
        <v>178</v>
      </c>
      <c r="C30" s="576"/>
      <c r="D30" s="577"/>
      <c r="E30" s="577">
        <v>50000</v>
      </c>
      <c r="F30" s="577">
        <v>50000</v>
      </c>
      <c r="G30" s="577"/>
      <c r="H30" s="577"/>
      <c r="I30" s="406"/>
      <c r="J30" s="602"/>
      <c r="K30" s="4"/>
      <c r="L30" s="53"/>
      <c r="M30" s="65"/>
      <c r="N30" s="65"/>
      <c r="O30" s="69"/>
      <c r="P30" s="357"/>
      <c r="Q30" s="57"/>
      <c r="R30" s="348"/>
      <c r="S30" s="57"/>
      <c r="T30" s="70"/>
      <c r="U30" s="70"/>
      <c r="V30" s="70"/>
      <c r="W30" s="70"/>
    </row>
    <row r="31" spans="1:23" s="2" customFormat="1" ht="12.75" customHeight="1">
      <c r="A31" s="124">
        <v>1312</v>
      </c>
      <c r="B31" s="592" t="s">
        <v>179</v>
      </c>
      <c r="C31" s="576">
        <v>370000</v>
      </c>
      <c r="D31" s="577">
        <v>246390</v>
      </c>
      <c r="E31" s="593">
        <f>C31</f>
        <v>370000</v>
      </c>
      <c r="F31" s="593">
        <v>309048</v>
      </c>
      <c r="G31" s="577">
        <v>370000</v>
      </c>
      <c r="H31" s="577">
        <v>52</v>
      </c>
      <c r="I31" s="398"/>
      <c r="J31" s="602">
        <v>270000</v>
      </c>
      <c r="K31" s="4"/>
      <c r="L31" s="53"/>
      <c r="M31" s="65"/>
      <c r="N31" s="65"/>
      <c r="O31" s="69"/>
      <c r="P31" s="357" t="s">
        <v>241</v>
      </c>
      <c r="Q31" s="57">
        <f aca="true" t="shared" si="1" ref="Q31:Q38">J31</f>
        <v>270000</v>
      </c>
      <c r="R31" s="348"/>
      <c r="S31" s="57"/>
      <c r="T31" s="70"/>
      <c r="U31" s="70"/>
      <c r="V31" s="70"/>
      <c r="W31" s="70"/>
    </row>
    <row r="32" spans="1:23" s="2" customFormat="1" ht="12.75" customHeight="1">
      <c r="A32" s="124"/>
      <c r="B32" s="644" t="s">
        <v>341</v>
      </c>
      <c r="C32" s="576"/>
      <c r="D32" s="577"/>
      <c r="E32" s="593"/>
      <c r="F32" s="593"/>
      <c r="G32" s="577"/>
      <c r="H32" s="577"/>
      <c r="I32" s="398"/>
      <c r="J32" s="602">
        <v>0</v>
      </c>
      <c r="K32" s="4"/>
      <c r="L32" s="53"/>
      <c r="M32" s="65"/>
      <c r="N32" s="65"/>
      <c r="O32" s="69"/>
      <c r="P32" s="357" t="s">
        <v>243</v>
      </c>
      <c r="Q32" s="57">
        <f t="shared" si="1"/>
        <v>0</v>
      </c>
      <c r="R32" s="348"/>
      <c r="S32" s="57" t="s">
        <v>356</v>
      </c>
      <c r="T32" s="70"/>
      <c r="U32" s="70"/>
      <c r="V32" s="70"/>
      <c r="W32" s="70"/>
    </row>
    <row r="33" spans="1:23" s="2" customFormat="1" ht="12.75" customHeight="1" hidden="1">
      <c r="A33" s="124"/>
      <c r="B33" s="592" t="s">
        <v>245</v>
      </c>
      <c r="C33" s="576"/>
      <c r="D33" s="577"/>
      <c r="E33" s="593"/>
      <c r="F33" s="593"/>
      <c r="G33" s="577"/>
      <c r="H33" s="577"/>
      <c r="I33" s="398"/>
      <c r="J33" s="602"/>
      <c r="K33" s="4"/>
      <c r="L33" s="53"/>
      <c r="M33" s="65"/>
      <c r="N33" s="65"/>
      <c r="O33" s="69"/>
      <c r="P33" s="357"/>
      <c r="Q33" s="57">
        <f t="shared" si="1"/>
        <v>0</v>
      </c>
      <c r="R33" s="348"/>
      <c r="S33" s="57"/>
      <c r="T33" s="70"/>
      <c r="U33" s="70"/>
      <c r="V33" s="70"/>
      <c r="W33" s="70"/>
    </row>
    <row r="34" spans="1:23" s="2" customFormat="1" ht="12.75" customHeight="1">
      <c r="A34" s="124">
        <v>1328</v>
      </c>
      <c r="B34" s="592" t="s">
        <v>44</v>
      </c>
      <c r="C34" s="576">
        <v>20000</v>
      </c>
      <c r="D34" s="577">
        <v>36664</v>
      </c>
      <c r="E34" s="593">
        <v>30050</v>
      </c>
      <c r="F34" s="593">
        <v>30050</v>
      </c>
      <c r="G34" s="577">
        <v>40000</v>
      </c>
      <c r="H34" s="577">
        <v>12</v>
      </c>
      <c r="I34" s="398"/>
      <c r="J34" s="602">
        <v>38000</v>
      </c>
      <c r="K34" s="4"/>
      <c r="L34" s="53"/>
      <c r="M34" s="65"/>
      <c r="N34" s="65"/>
      <c r="O34" s="69"/>
      <c r="P34" s="357" t="s">
        <v>244</v>
      </c>
      <c r="Q34" s="57">
        <f t="shared" si="1"/>
        <v>38000</v>
      </c>
      <c r="R34" s="348"/>
      <c r="S34" s="57">
        <v>24000</v>
      </c>
      <c r="T34" s="70"/>
      <c r="U34" s="70"/>
      <c r="V34" s="70"/>
      <c r="W34" s="70"/>
    </row>
    <row r="35" spans="1:23" s="2" customFormat="1" ht="12.75" customHeight="1">
      <c r="A35" s="124">
        <v>1316</v>
      </c>
      <c r="B35" s="592" t="s">
        <v>220</v>
      </c>
      <c r="C35" s="576">
        <v>60000</v>
      </c>
      <c r="D35" s="577">
        <v>148949</v>
      </c>
      <c r="E35" s="593">
        <v>38895</v>
      </c>
      <c r="F35" s="593">
        <v>38895</v>
      </c>
      <c r="G35" s="577">
        <v>50000</v>
      </c>
      <c r="H35" s="577">
        <v>42335</v>
      </c>
      <c r="I35" s="398"/>
      <c r="J35" s="602">
        <v>60000</v>
      </c>
      <c r="K35" s="4"/>
      <c r="L35" s="53"/>
      <c r="M35" s="65"/>
      <c r="N35" s="65"/>
      <c r="O35" s="69"/>
      <c r="P35" s="357" t="s">
        <v>246</v>
      </c>
      <c r="Q35" s="57">
        <f t="shared" si="1"/>
        <v>60000</v>
      </c>
      <c r="R35" s="348"/>
      <c r="S35" s="57">
        <v>30000</v>
      </c>
      <c r="T35" s="70"/>
      <c r="U35" s="70"/>
      <c r="V35" s="70"/>
      <c r="W35" s="70"/>
    </row>
    <row r="36" spans="1:23" s="2" customFormat="1" ht="12.75" customHeight="1">
      <c r="A36" s="124">
        <v>1208</v>
      </c>
      <c r="B36" s="592" t="s">
        <v>180</v>
      </c>
      <c r="C36" s="576">
        <v>50000</v>
      </c>
      <c r="D36" s="577">
        <v>145055</v>
      </c>
      <c r="E36" s="593">
        <f>C36</f>
        <v>50000</v>
      </c>
      <c r="F36" s="593">
        <v>184574</v>
      </c>
      <c r="G36" s="577">
        <v>123500</v>
      </c>
      <c r="H36" s="577">
        <v>112217</v>
      </c>
      <c r="I36" s="398"/>
      <c r="J36" s="602">
        <v>155000</v>
      </c>
      <c r="K36" s="4"/>
      <c r="L36" s="53"/>
      <c r="M36" s="65"/>
      <c r="N36" s="65"/>
      <c r="O36" s="69"/>
      <c r="P36" s="357" t="s">
        <v>248</v>
      </c>
      <c r="Q36" s="57">
        <f t="shared" si="1"/>
        <v>155000</v>
      </c>
      <c r="R36" s="348"/>
      <c r="S36" s="57">
        <v>105000</v>
      </c>
      <c r="T36" s="70"/>
      <c r="U36" s="70"/>
      <c r="V36" s="70"/>
      <c r="W36" s="70"/>
    </row>
    <row r="37" spans="1:23" s="2" customFormat="1" ht="12.75" customHeight="1">
      <c r="A37" s="124">
        <v>1322</v>
      </c>
      <c r="B37" s="592" t="s">
        <v>221</v>
      </c>
      <c r="C37" s="576"/>
      <c r="D37" s="577"/>
      <c r="E37" s="593"/>
      <c r="F37" s="593"/>
      <c r="G37" s="577">
        <v>52000</v>
      </c>
      <c r="H37" s="577">
        <v>51462</v>
      </c>
      <c r="I37" s="398"/>
      <c r="J37" s="602">
        <v>96000</v>
      </c>
      <c r="K37" s="4"/>
      <c r="L37" s="53"/>
      <c r="M37" s="65"/>
      <c r="N37" s="65"/>
      <c r="O37" s="69"/>
      <c r="P37" s="357" t="s">
        <v>249</v>
      </c>
      <c r="Q37" s="57">
        <f t="shared" si="1"/>
        <v>96000</v>
      </c>
      <c r="R37" s="348"/>
      <c r="S37" s="57">
        <v>66000</v>
      </c>
      <c r="T37" s="70"/>
      <c r="U37" s="70"/>
      <c r="V37" s="70"/>
      <c r="W37" s="70"/>
    </row>
    <row r="38" spans="1:23" s="2" customFormat="1" ht="12.75" customHeight="1">
      <c r="A38" s="124">
        <v>1321</v>
      </c>
      <c r="B38" s="592" t="s">
        <v>181</v>
      </c>
      <c r="C38" s="576">
        <v>15000</v>
      </c>
      <c r="D38" s="577">
        <v>15013</v>
      </c>
      <c r="E38" s="593">
        <f>C38</f>
        <v>15000</v>
      </c>
      <c r="F38" s="593">
        <v>15211</v>
      </c>
      <c r="G38" s="577">
        <v>15000</v>
      </c>
      <c r="H38" s="577">
        <v>0</v>
      </c>
      <c r="I38" s="398"/>
      <c r="J38" s="602">
        <v>15000</v>
      </c>
      <c r="K38" s="4"/>
      <c r="L38" s="53"/>
      <c r="M38" s="65"/>
      <c r="N38" s="65"/>
      <c r="O38" s="69"/>
      <c r="P38" s="357" t="s">
        <v>247</v>
      </c>
      <c r="Q38" s="57">
        <f t="shared" si="1"/>
        <v>15000</v>
      </c>
      <c r="R38" s="348"/>
      <c r="S38" s="57"/>
      <c r="T38" s="70"/>
      <c r="U38" s="70"/>
      <c r="V38" s="70"/>
      <c r="W38" s="70"/>
    </row>
    <row r="39" spans="1:23" s="2" customFormat="1" ht="12.75" customHeight="1">
      <c r="A39" s="124">
        <v>1304</v>
      </c>
      <c r="B39" s="592" t="s">
        <v>45</v>
      </c>
      <c r="C39" s="576">
        <v>20000</v>
      </c>
      <c r="D39" s="577">
        <v>9000</v>
      </c>
      <c r="E39" s="593">
        <f>C39</f>
        <v>20000</v>
      </c>
      <c r="F39" s="593">
        <v>20602</v>
      </c>
      <c r="G39" s="577"/>
      <c r="H39" s="577">
        <v>0</v>
      </c>
      <c r="I39" s="398"/>
      <c r="J39" s="602"/>
      <c r="K39" s="4"/>
      <c r="L39" s="53"/>
      <c r="M39" s="65"/>
      <c r="N39" s="65"/>
      <c r="O39" s="69"/>
      <c r="P39" s="357"/>
      <c r="Q39" s="57"/>
      <c r="R39" s="348"/>
      <c r="S39" s="57"/>
      <c r="T39" s="70"/>
      <c r="U39" s="70"/>
      <c r="V39" s="70"/>
      <c r="W39" s="70"/>
    </row>
    <row r="40" spans="1:23" s="2" customFormat="1" ht="12.75" customHeight="1">
      <c r="A40" s="124">
        <v>1320</v>
      </c>
      <c r="B40" s="592" t="s">
        <v>182</v>
      </c>
      <c r="C40" s="576">
        <v>50000</v>
      </c>
      <c r="D40" s="577">
        <v>5500</v>
      </c>
      <c r="E40" s="593">
        <v>54436</v>
      </c>
      <c r="F40" s="593">
        <v>54436</v>
      </c>
      <c r="G40" s="577">
        <v>80000</v>
      </c>
      <c r="H40" s="577">
        <v>1295</v>
      </c>
      <c r="I40" s="398"/>
      <c r="J40" s="602">
        <f>80000-10000</f>
        <v>70000</v>
      </c>
      <c r="K40" s="4"/>
      <c r="L40" s="53"/>
      <c r="M40" s="65"/>
      <c r="N40" s="65"/>
      <c r="O40" s="69"/>
      <c r="P40" s="357" t="s">
        <v>250</v>
      </c>
      <c r="Q40" s="57">
        <f>J40</f>
        <v>70000</v>
      </c>
      <c r="R40" s="348"/>
      <c r="S40" s="57">
        <v>30000</v>
      </c>
      <c r="T40" s="70"/>
      <c r="U40" s="70"/>
      <c r="V40" s="70"/>
      <c r="W40" s="70"/>
    </row>
    <row r="41" spans="1:23" s="2" customFormat="1" ht="12.75" customHeight="1">
      <c r="A41" s="124"/>
      <c r="B41" s="592" t="s">
        <v>183</v>
      </c>
      <c r="C41" s="576"/>
      <c r="D41" s="577"/>
      <c r="E41" s="593">
        <v>10000</v>
      </c>
      <c r="F41" s="593">
        <v>10000</v>
      </c>
      <c r="G41" s="577"/>
      <c r="H41" s="577"/>
      <c r="I41" s="406"/>
      <c r="J41" s="602"/>
      <c r="K41" s="4"/>
      <c r="L41" s="53"/>
      <c r="M41" s="65"/>
      <c r="N41" s="65"/>
      <c r="O41" s="69"/>
      <c r="P41" s="357"/>
      <c r="Q41" s="57"/>
      <c r="R41" s="348"/>
      <c r="S41" s="57"/>
      <c r="T41" s="70"/>
      <c r="U41" s="70"/>
      <c r="V41" s="70"/>
      <c r="W41" s="70"/>
    </row>
    <row r="42" spans="1:23" s="2" customFormat="1" ht="12.75" customHeight="1">
      <c r="A42" s="124">
        <v>1305</v>
      </c>
      <c r="B42" s="592" t="s">
        <v>343</v>
      </c>
      <c r="C42" s="576">
        <v>20000</v>
      </c>
      <c r="D42" s="577">
        <v>19921</v>
      </c>
      <c r="E42" s="593">
        <f>C42</f>
        <v>20000</v>
      </c>
      <c r="F42" s="593">
        <v>12524</v>
      </c>
      <c r="G42" s="577">
        <v>20000</v>
      </c>
      <c r="H42" s="577">
        <v>7744</v>
      </c>
      <c r="I42" s="398"/>
      <c r="J42" s="602">
        <v>10000</v>
      </c>
      <c r="K42" s="4"/>
      <c r="L42" s="53"/>
      <c r="M42" s="65"/>
      <c r="N42" s="65"/>
      <c r="O42" s="69"/>
      <c r="P42" s="357" t="s">
        <v>146</v>
      </c>
      <c r="Q42" s="57">
        <f>J42</f>
        <v>10000</v>
      </c>
      <c r="R42" s="348"/>
      <c r="S42" s="57"/>
      <c r="T42" s="70"/>
      <c r="U42" s="70"/>
      <c r="V42" s="70"/>
      <c r="W42" s="70"/>
    </row>
    <row r="43" spans="1:23" s="2" customFormat="1" ht="12.75" customHeight="1">
      <c r="A43" s="124">
        <v>1905</v>
      </c>
      <c r="B43" s="592" t="s">
        <v>186</v>
      </c>
      <c r="C43" s="576"/>
      <c r="D43" s="577"/>
      <c r="E43" s="593">
        <v>40000</v>
      </c>
      <c r="F43" s="593">
        <v>85118</v>
      </c>
      <c r="G43" s="577">
        <v>90000</v>
      </c>
      <c r="H43" s="577">
        <v>70</v>
      </c>
      <c r="I43" s="406"/>
      <c r="J43" s="602">
        <v>80000</v>
      </c>
      <c r="K43" s="4"/>
      <c r="L43" s="53"/>
      <c r="M43" s="65"/>
      <c r="N43" s="65"/>
      <c r="O43" s="69"/>
      <c r="P43" s="357" t="s">
        <v>255</v>
      </c>
      <c r="Q43" s="57"/>
      <c r="R43" s="348"/>
      <c r="S43" s="57"/>
      <c r="T43" s="70"/>
      <c r="U43" s="70"/>
      <c r="V43" s="70"/>
      <c r="W43" s="70"/>
    </row>
    <row r="44" spans="1:23" s="2" customFormat="1" ht="12.75" customHeight="1">
      <c r="A44" s="124"/>
      <c r="B44" s="592" t="s">
        <v>308</v>
      </c>
      <c r="C44" s="576"/>
      <c r="D44" s="577"/>
      <c r="E44" s="593">
        <v>15000</v>
      </c>
      <c r="F44" s="593">
        <v>15000</v>
      </c>
      <c r="G44" s="577"/>
      <c r="H44" s="577"/>
      <c r="I44" s="406"/>
      <c r="J44" s="602"/>
      <c r="K44" s="4"/>
      <c r="L44" s="53"/>
      <c r="M44" s="65"/>
      <c r="N44" s="65"/>
      <c r="O44" s="69"/>
      <c r="P44" s="357"/>
      <c r="Q44" s="57"/>
      <c r="R44" s="348"/>
      <c r="S44" s="57"/>
      <c r="T44" s="70"/>
      <c r="U44" s="70"/>
      <c r="V44" s="70"/>
      <c r="W44" s="70"/>
    </row>
    <row r="45" spans="1:23" s="2" customFormat="1" ht="12.75" customHeight="1">
      <c r="A45" s="124">
        <v>1308</v>
      </c>
      <c r="B45" s="592" t="s">
        <v>317</v>
      </c>
      <c r="C45" s="576"/>
      <c r="D45" s="577"/>
      <c r="E45" s="593"/>
      <c r="F45" s="593">
        <v>86701</v>
      </c>
      <c r="G45" s="577">
        <v>210000</v>
      </c>
      <c r="H45" s="577">
        <v>1984</v>
      </c>
      <c r="I45" s="406"/>
      <c r="J45" s="602">
        <v>106000</v>
      </c>
      <c r="K45" s="4"/>
      <c r="L45" s="53"/>
      <c r="M45" s="65"/>
      <c r="N45" s="65"/>
      <c r="O45" s="69"/>
      <c r="P45" s="357" t="s">
        <v>251</v>
      </c>
      <c r="Q45" s="57"/>
      <c r="R45" s="348"/>
      <c r="S45" s="57">
        <v>6000</v>
      </c>
      <c r="T45" s="70"/>
      <c r="U45" s="70"/>
      <c r="V45" s="70"/>
      <c r="W45" s="70"/>
    </row>
    <row r="46" spans="1:23" s="2" customFormat="1" ht="12.75" customHeight="1">
      <c r="A46" s="124"/>
      <c r="B46" s="592" t="s">
        <v>254</v>
      </c>
      <c r="C46" s="576"/>
      <c r="D46" s="577"/>
      <c r="E46" s="593"/>
      <c r="F46" s="593"/>
      <c r="G46" s="577">
        <v>90000</v>
      </c>
      <c r="H46" s="577"/>
      <c r="I46" s="406"/>
      <c r="J46" s="602"/>
      <c r="K46" s="4"/>
      <c r="L46" s="53"/>
      <c r="M46" s="65"/>
      <c r="N46" s="65"/>
      <c r="O46" s="69"/>
      <c r="P46" s="357"/>
      <c r="Q46" s="57">
        <f>J46</f>
        <v>0</v>
      </c>
      <c r="R46" s="348"/>
      <c r="S46" s="57"/>
      <c r="T46" s="70"/>
      <c r="U46" s="70"/>
      <c r="V46" s="70"/>
      <c r="W46" s="70"/>
    </row>
    <row r="47" spans="1:23" s="2" customFormat="1" ht="12.75" customHeight="1">
      <c r="A47" s="124"/>
      <c r="B47" s="644" t="s">
        <v>342</v>
      </c>
      <c r="C47" s="576"/>
      <c r="D47" s="577"/>
      <c r="E47" s="593"/>
      <c r="F47" s="593"/>
      <c r="G47" s="577"/>
      <c r="H47" s="577"/>
      <c r="I47" s="406"/>
      <c r="J47" s="602">
        <v>20000</v>
      </c>
      <c r="K47" s="4"/>
      <c r="L47" s="53"/>
      <c r="M47" s="65"/>
      <c r="N47" s="65"/>
      <c r="O47" s="69"/>
      <c r="P47" s="357" t="s">
        <v>252</v>
      </c>
      <c r="Q47" s="57">
        <f>J47</f>
        <v>20000</v>
      </c>
      <c r="R47" s="348"/>
      <c r="S47" s="57"/>
      <c r="T47" s="70"/>
      <c r="U47" s="70"/>
      <c r="V47" s="70"/>
      <c r="W47" s="70"/>
    </row>
    <row r="48" spans="1:23" s="2" customFormat="1" ht="12.75" customHeight="1">
      <c r="A48" s="124"/>
      <c r="B48" s="644" t="s">
        <v>344</v>
      </c>
      <c r="C48" s="576"/>
      <c r="D48" s="577"/>
      <c r="E48" s="593"/>
      <c r="F48" s="593"/>
      <c r="G48" s="577"/>
      <c r="H48" s="577"/>
      <c r="I48" s="406"/>
      <c r="J48" s="602">
        <v>10000</v>
      </c>
      <c r="K48" s="4"/>
      <c r="L48" s="53"/>
      <c r="M48" s="65"/>
      <c r="N48" s="65"/>
      <c r="O48" s="69"/>
      <c r="P48" s="357" t="s">
        <v>258</v>
      </c>
      <c r="Q48" s="57">
        <f>J48</f>
        <v>10000</v>
      </c>
      <c r="R48" s="348"/>
      <c r="S48" s="57"/>
      <c r="T48" s="70"/>
      <c r="U48" s="70"/>
      <c r="V48" s="70"/>
      <c r="W48" s="70"/>
    </row>
    <row r="49" spans="1:23" s="2" customFormat="1" ht="12.75" customHeight="1" hidden="1">
      <c r="A49" s="124"/>
      <c r="B49" s="592" t="s">
        <v>225</v>
      </c>
      <c r="C49" s="576"/>
      <c r="D49" s="577"/>
      <c r="E49" s="593"/>
      <c r="F49" s="593"/>
      <c r="G49" s="577"/>
      <c r="H49" s="577"/>
      <c r="I49" s="398"/>
      <c r="J49" s="602"/>
      <c r="K49" s="4"/>
      <c r="L49" s="53"/>
      <c r="M49" s="65"/>
      <c r="N49" s="65"/>
      <c r="O49" s="69"/>
      <c r="P49" s="357"/>
      <c r="Q49" s="57">
        <f>J49</f>
        <v>0</v>
      </c>
      <c r="R49" s="57"/>
      <c r="S49" s="57"/>
      <c r="T49" s="70"/>
      <c r="U49" s="70"/>
      <c r="V49" s="70"/>
      <c r="W49" s="70"/>
    </row>
    <row r="50" spans="1:23" s="2" customFormat="1" ht="12.75" customHeight="1" hidden="1">
      <c r="A50" s="124"/>
      <c r="B50" s="592" t="s">
        <v>226</v>
      </c>
      <c r="C50" s="576"/>
      <c r="D50" s="577"/>
      <c r="E50" s="593"/>
      <c r="F50" s="593"/>
      <c r="G50" s="577"/>
      <c r="H50" s="577"/>
      <c r="I50" s="398"/>
      <c r="J50" s="602"/>
      <c r="K50" s="4"/>
      <c r="L50" s="53"/>
      <c r="M50" s="65"/>
      <c r="N50" s="65"/>
      <c r="O50" s="69"/>
      <c r="P50" s="357"/>
      <c r="Q50" s="57">
        <f>J50</f>
        <v>0</v>
      </c>
      <c r="R50" s="57"/>
      <c r="S50" s="57"/>
      <c r="T50" s="70"/>
      <c r="U50" s="70"/>
      <c r="V50" s="70"/>
      <c r="W50" s="70"/>
    </row>
    <row r="51" spans="1:23" s="2" customFormat="1" ht="12.75" customHeight="1">
      <c r="A51" s="124"/>
      <c r="B51" s="592" t="s">
        <v>184</v>
      </c>
      <c r="C51" s="576"/>
      <c r="D51" s="577">
        <v>57000</v>
      </c>
      <c r="E51" s="593"/>
      <c r="F51" s="593"/>
      <c r="G51" s="577"/>
      <c r="H51" s="577"/>
      <c r="I51" s="398"/>
      <c r="J51" s="602">
        <v>0</v>
      </c>
      <c r="K51" s="4"/>
      <c r="L51" s="53"/>
      <c r="M51" s="65"/>
      <c r="N51" s="65"/>
      <c r="O51" s="69"/>
      <c r="P51" s="357"/>
      <c r="Q51" s="57"/>
      <c r="R51" s="57"/>
      <c r="S51" s="57"/>
      <c r="T51" s="70"/>
      <c r="U51" s="70"/>
      <c r="V51" s="70"/>
      <c r="W51" s="70"/>
    </row>
    <row r="52" spans="1:23" s="2" customFormat="1" ht="12.75" customHeight="1">
      <c r="A52" s="124"/>
      <c r="B52" s="518" t="s">
        <v>185</v>
      </c>
      <c r="C52" s="430"/>
      <c r="D52" s="398">
        <v>393700</v>
      </c>
      <c r="E52" s="404"/>
      <c r="F52" s="397">
        <v>130800</v>
      </c>
      <c r="G52" s="398"/>
      <c r="H52" s="398"/>
      <c r="I52" s="398"/>
      <c r="J52" s="602"/>
      <c r="K52" s="4"/>
      <c r="L52" s="53"/>
      <c r="M52" s="65"/>
      <c r="N52" s="65"/>
      <c r="O52" s="69"/>
      <c r="P52" s="357"/>
      <c r="Q52" s="57"/>
      <c r="R52" s="57"/>
      <c r="S52" s="57"/>
      <c r="T52" s="70"/>
      <c r="U52" s="70"/>
      <c r="V52" s="70"/>
      <c r="W52" s="70"/>
    </row>
    <row r="53" spans="1:23" s="2" customFormat="1" ht="12.75" customHeight="1">
      <c r="A53" s="124"/>
      <c r="B53" s="518" t="s">
        <v>318</v>
      </c>
      <c r="C53" s="430">
        <v>30262</v>
      </c>
      <c r="D53" s="398"/>
      <c r="E53" s="404">
        <f>C53</f>
        <v>30262</v>
      </c>
      <c r="F53" s="404">
        <v>13469</v>
      </c>
      <c r="G53" s="398">
        <v>37644</v>
      </c>
      <c r="H53" s="398"/>
      <c r="I53" s="406"/>
      <c r="J53" s="602"/>
      <c r="K53" s="4"/>
      <c r="L53" s="53"/>
      <c r="M53" s="65"/>
      <c r="N53" s="65"/>
      <c r="O53" s="69"/>
      <c r="P53" s="357"/>
      <c r="Q53" s="57"/>
      <c r="R53" s="57"/>
      <c r="S53" s="57"/>
      <c r="T53" s="70"/>
      <c r="U53" s="70"/>
      <c r="V53" s="70"/>
      <c r="W53" s="70"/>
    </row>
    <row r="54" spans="1:23" s="2" customFormat="1" ht="12.75" customHeight="1">
      <c r="A54" s="124"/>
      <c r="B54" s="518" t="s">
        <v>189</v>
      </c>
      <c r="C54" s="431">
        <v>162594</v>
      </c>
      <c r="D54" s="398"/>
      <c r="E54" s="404">
        <f>C54</f>
        <v>162594</v>
      </c>
      <c r="F54" s="404">
        <v>158546</v>
      </c>
      <c r="G54" s="398">
        <v>677600</v>
      </c>
      <c r="H54" s="398"/>
      <c r="I54" s="406"/>
      <c r="J54" s="602"/>
      <c r="K54" s="4"/>
      <c r="L54" s="53"/>
      <c r="M54" s="65"/>
      <c r="N54" s="65"/>
      <c r="O54" s="69"/>
      <c r="P54" s="357"/>
      <c r="Q54" s="57"/>
      <c r="R54" s="57"/>
      <c r="S54" s="57"/>
      <c r="T54" s="70"/>
      <c r="U54" s="70"/>
      <c r="V54" s="70"/>
      <c r="W54" s="70"/>
    </row>
    <row r="55" spans="1:23" s="2" customFormat="1" ht="12.75" customHeight="1" thickBot="1">
      <c r="A55" s="124"/>
      <c r="B55" s="536" t="s">
        <v>157</v>
      </c>
      <c r="C55" s="432">
        <v>727935</v>
      </c>
      <c r="D55" s="408">
        <v>710944</v>
      </c>
      <c r="E55" s="407">
        <f>C55</f>
        <v>727935</v>
      </c>
      <c r="F55" s="407">
        <v>680479</v>
      </c>
      <c r="G55" s="408">
        <v>749468</v>
      </c>
      <c r="H55" s="408">
        <v>293555</v>
      </c>
      <c r="I55" s="408"/>
      <c r="J55" s="603">
        <f>830651-J119-46000</f>
        <v>759885</v>
      </c>
      <c r="K55" s="4"/>
      <c r="L55" s="26"/>
      <c r="M55" s="81"/>
      <c r="N55" s="81"/>
      <c r="O55" s="69"/>
      <c r="P55" s="359" t="s">
        <v>293</v>
      </c>
      <c r="Q55" s="57"/>
      <c r="R55" s="57"/>
      <c r="S55" s="57"/>
      <c r="T55" s="70"/>
      <c r="U55" s="70"/>
      <c r="V55" s="70"/>
      <c r="W55" s="70"/>
    </row>
    <row r="56" spans="1:19" s="11" customFormat="1" ht="14.25" thickBot="1">
      <c r="A56" s="124"/>
      <c r="B56" s="434" t="s">
        <v>2</v>
      </c>
      <c r="C56" s="433">
        <f aca="true" t="shared" si="2" ref="C56:J56">SUM(C7:C55)</f>
        <v>12493975</v>
      </c>
      <c r="D56" s="360">
        <f t="shared" si="2"/>
        <v>12469547</v>
      </c>
      <c r="E56" s="44">
        <f t="shared" si="2"/>
        <v>12888766</v>
      </c>
      <c r="F56" s="44">
        <f t="shared" si="2"/>
        <v>12963019</v>
      </c>
      <c r="G56" s="360">
        <f t="shared" si="2"/>
        <v>13719257</v>
      </c>
      <c r="H56" s="360">
        <f t="shared" si="2"/>
        <v>5235784</v>
      </c>
      <c r="I56" s="360">
        <f t="shared" si="2"/>
        <v>0</v>
      </c>
      <c r="J56" s="425">
        <f t="shared" si="2"/>
        <v>13396346</v>
      </c>
      <c r="K56" s="5"/>
      <c r="L56" s="56"/>
      <c r="M56" s="82"/>
      <c r="N56" s="82"/>
      <c r="O56" s="83"/>
      <c r="P56" s="124"/>
      <c r="Q56" s="512">
        <f>SUM(Q12:Q55)</f>
        <v>2502500</v>
      </c>
      <c r="R56" s="7"/>
      <c r="S56" s="512">
        <f>SUM(S12:S55)</f>
        <v>471500</v>
      </c>
    </row>
    <row r="57" spans="1:22" ht="15.75" thickBot="1">
      <c r="A57" s="347"/>
      <c r="B57" s="361"/>
      <c r="C57" s="13"/>
      <c r="D57" s="362"/>
      <c r="E57" s="22"/>
      <c r="F57" s="22"/>
      <c r="G57" s="362"/>
      <c r="H57" s="362"/>
      <c r="I57" s="362"/>
      <c r="J57" s="604"/>
      <c r="K57" s="4"/>
      <c r="L57" s="64"/>
      <c r="M57" s="65"/>
      <c r="N57" s="65"/>
      <c r="O57" s="33"/>
      <c r="Q57" s="7"/>
      <c r="R57" s="7"/>
      <c r="S57" s="7"/>
      <c r="T57" s="10"/>
      <c r="U57" s="10"/>
      <c r="V57" s="10"/>
    </row>
    <row r="58" spans="2:22" ht="15.75" thickBot="1">
      <c r="B58" s="363" t="s">
        <v>3</v>
      </c>
      <c r="C58" s="14"/>
      <c r="D58" s="362"/>
      <c r="E58" s="22"/>
      <c r="F58" s="22"/>
      <c r="G58" s="362"/>
      <c r="H58" s="362"/>
      <c r="I58" s="362"/>
      <c r="J58" s="604"/>
      <c r="K58" s="14"/>
      <c r="L58" s="64"/>
      <c r="M58" s="65"/>
      <c r="N58" s="65"/>
      <c r="O58" s="33"/>
      <c r="Q58" s="7"/>
      <c r="R58" s="7"/>
      <c r="S58" s="7"/>
      <c r="T58" s="10"/>
      <c r="U58" s="5"/>
      <c r="V58" s="10"/>
    </row>
    <row r="59" spans="1:22" s="2" customFormat="1" ht="12.75" customHeight="1">
      <c r="A59" s="124"/>
      <c r="B59" s="525" t="s">
        <v>11</v>
      </c>
      <c r="C59" s="444">
        <v>2500000</v>
      </c>
      <c r="D59" s="437">
        <v>2882256</v>
      </c>
      <c r="E59" s="436">
        <f>C59</f>
        <v>2500000</v>
      </c>
      <c r="F59" s="436">
        <v>2548002</v>
      </c>
      <c r="G59" s="437">
        <v>2680000</v>
      </c>
      <c r="H59" s="437">
        <v>1524300</v>
      </c>
      <c r="I59" s="437"/>
      <c r="J59" s="605">
        <v>2948000</v>
      </c>
      <c r="K59" s="26"/>
      <c r="L59" s="30"/>
      <c r="M59" s="65"/>
      <c r="N59" s="65"/>
      <c r="O59" s="69"/>
      <c r="P59" s="356"/>
      <c r="Q59" s="57"/>
      <c r="R59" s="16"/>
      <c r="S59" s="57"/>
      <c r="T59" s="69"/>
      <c r="U59" s="69"/>
      <c r="V59" s="69"/>
    </row>
    <row r="60" spans="1:22" s="2" customFormat="1" ht="12.75" customHeight="1" hidden="1">
      <c r="A60" s="124"/>
      <c r="B60" s="526" t="s">
        <v>227</v>
      </c>
      <c r="C60" s="426"/>
      <c r="D60" s="411"/>
      <c r="E60" s="496"/>
      <c r="F60" s="496"/>
      <c r="G60" s="411"/>
      <c r="H60" s="411"/>
      <c r="I60" s="411"/>
      <c r="J60" s="601"/>
      <c r="K60" s="26"/>
      <c r="L60" s="30"/>
      <c r="M60" s="65"/>
      <c r="N60" s="65"/>
      <c r="O60" s="69"/>
      <c r="P60" s="414"/>
      <c r="Q60" s="57"/>
      <c r="R60" s="16"/>
      <c r="S60" s="57"/>
      <c r="T60" s="69"/>
      <c r="U60" s="69"/>
      <c r="V60" s="69"/>
    </row>
    <row r="61" spans="1:22" s="2" customFormat="1" ht="12.75" customHeight="1">
      <c r="A61" s="124"/>
      <c r="B61" s="527" t="s">
        <v>190</v>
      </c>
      <c r="C61" s="427">
        <v>162594</v>
      </c>
      <c r="D61" s="398"/>
      <c r="E61" s="439">
        <f>C61</f>
        <v>162594</v>
      </c>
      <c r="F61" s="439">
        <v>158546</v>
      </c>
      <c r="G61" s="398">
        <v>677600</v>
      </c>
      <c r="H61" s="398"/>
      <c r="I61" s="406"/>
      <c r="J61" s="602">
        <v>0</v>
      </c>
      <c r="K61" s="26"/>
      <c r="L61" s="30"/>
      <c r="M61" s="65"/>
      <c r="N61" s="65"/>
      <c r="O61" s="69"/>
      <c r="P61" s="357"/>
      <c r="Q61" s="57"/>
      <c r="R61" s="16"/>
      <c r="S61" s="57"/>
      <c r="T61" s="69"/>
      <c r="U61" s="69"/>
      <c r="V61" s="69"/>
    </row>
    <row r="62" spans="1:22" s="2" customFormat="1" ht="12.75" customHeight="1">
      <c r="A62" s="124"/>
      <c r="B62" s="527" t="s">
        <v>192</v>
      </c>
      <c r="C62" s="430">
        <v>30262</v>
      </c>
      <c r="D62" s="398"/>
      <c r="E62" s="439">
        <f>C62</f>
        <v>30262</v>
      </c>
      <c r="F62" s="439">
        <v>0</v>
      </c>
      <c r="G62" s="398">
        <v>37644</v>
      </c>
      <c r="H62" s="398"/>
      <c r="I62" s="406"/>
      <c r="J62" s="602">
        <v>0</v>
      </c>
      <c r="K62" s="53"/>
      <c r="L62" s="30"/>
      <c r="M62" s="65"/>
      <c r="N62" s="65"/>
      <c r="O62" s="69"/>
      <c r="P62" s="357"/>
      <c r="Q62" s="57"/>
      <c r="R62" s="16"/>
      <c r="S62" s="57"/>
      <c r="T62" s="69"/>
      <c r="U62" s="69"/>
      <c r="V62" s="69"/>
    </row>
    <row r="63" spans="1:22" s="2" customFormat="1" ht="12.75" customHeight="1">
      <c r="A63" s="124"/>
      <c r="B63" s="527" t="s">
        <v>12</v>
      </c>
      <c r="C63" s="427">
        <v>20000</v>
      </c>
      <c r="D63" s="398">
        <v>2635</v>
      </c>
      <c r="E63" s="439">
        <f>C63</f>
        <v>20000</v>
      </c>
      <c r="F63" s="439">
        <v>18863</v>
      </c>
      <c r="G63" s="398">
        <v>21000</v>
      </c>
      <c r="H63" s="398">
        <v>16</v>
      </c>
      <c r="I63" s="398"/>
      <c r="J63" s="602">
        <v>23100</v>
      </c>
      <c r="K63" s="26"/>
      <c r="L63" s="30"/>
      <c r="M63" s="65"/>
      <c r="N63" s="65"/>
      <c r="O63" s="69"/>
      <c r="P63" s="357"/>
      <c r="Q63" s="57"/>
      <c r="R63" s="16" t="s">
        <v>263</v>
      </c>
      <c r="S63" s="57"/>
      <c r="T63" s="69"/>
      <c r="U63" s="69"/>
      <c r="V63" s="69"/>
    </row>
    <row r="64" spans="1:22" s="2" customFormat="1" ht="12.75" customHeight="1">
      <c r="A64" s="124"/>
      <c r="B64" s="541" t="s">
        <v>4</v>
      </c>
      <c r="C64" s="542">
        <v>7365189</v>
      </c>
      <c r="D64" s="543">
        <v>6381243</v>
      </c>
      <c r="E64" s="544">
        <v>7425365</v>
      </c>
      <c r="F64" s="544">
        <v>7425365</v>
      </c>
      <c r="G64" s="543">
        <v>7742513</v>
      </c>
      <c r="H64" s="543">
        <v>3185395</v>
      </c>
      <c r="I64" s="543"/>
      <c r="J64" s="606">
        <v>8305246</v>
      </c>
      <c r="K64" s="53"/>
      <c r="L64" s="30"/>
      <c r="M64" s="65"/>
      <c r="N64" s="65"/>
      <c r="O64" s="69"/>
      <c r="P64" s="357"/>
      <c r="Q64" s="57"/>
      <c r="R64" s="16"/>
      <c r="S64" s="57"/>
      <c r="T64" s="69"/>
      <c r="U64" s="69"/>
      <c r="V64" s="5"/>
    </row>
    <row r="65" spans="1:22" s="2" customFormat="1" ht="12.75" customHeight="1">
      <c r="A65" s="124"/>
      <c r="B65" s="580" t="s">
        <v>266</v>
      </c>
      <c r="C65" s="581">
        <v>950000</v>
      </c>
      <c r="D65" s="582">
        <v>950000</v>
      </c>
      <c r="E65" s="583">
        <f>C65</f>
        <v>950000</v>
      </c>
      <c r="F65" s="583">
        <v>950000</v>
      </c>
      <c r="G65" s="582">
        <v>950000</v>
      </c>
      <c r="H65" s="582">
        <v>0</v>
      </c>
      <c r="I65" s="582"/>
      <c r="J65" s="607">
        <v>950000</v>
      </c>
      <c r="K65" s="53"/>
      <c r="L65" s="30"/>
      <c r="M65" s="65"/>
      <c r="N65" s="65"/>
      <c r="O65" s="69"/>
      <c r="P65" s="357"/>
      <c r="Q65" s="57"/>
      <c r="R65" s="16">
        <f>J65</f>
        <v>950000</v>
      </c>
      <c r="S65" s="57"/>
      <c r="T65" s="69"/>
      <c r="U65" s="69"/>
      <c r="V65" s="69"/>
    </row>
    <row r="66" spans="1:22" s="2" customFormat="1" ht="12.75" customHeight="1">
      <c r="A66" s="124"/>
      <c r="B66" s="579" t="s">
        <v>311</v>
      </c>
      <c r="C66" s="576"/>
      <c r="D66" s="620"/>
      <c r="E66" s="578">
        <v>130000</v>
      </c>
      <c r="F66" s="578">
        <v>130000</v>
      </c>
      <c r="G66" s="620"/>
      <c r="H66" s="620"/>
      <c r="I66" s="620"/>
      <c r="J66" s="623"/>
      <c r="K66" s="53"/>
      <c r="L66" s="30"/>
      <c r="M66" s="65"/>
      <c r="N66" s="65"/>
      <c r="O66" s="69"/>
      <c r="P66" s="357"/>
      <c r="Q66" s="57"/>
      <c r="S66" s="57"/>
      <c r="T66" s="69"/>
      <c r="U66" s="69"/>
      <c r="V66" s="69"/>
    </row>
    <row r="67" spans="1:22" s="2" customFormat="1" ht="12.75" customHeight="1">
      <c r="A67" s="124"/>
      <c r="B67" s="579" t="s">
        <v>309</v>
      </c>
      <c r="C67" s="576"/>
      <c r="D67" s="620"/>
      <c r="E67" s="578">
        <v>30000</v>
      </c>
      <c r="F67" s="578">
        <v>30000</v>
      </c>
      <c r="G67" s="620">
        <v>50000</v>
      </c>
      <c r="H67" s="620">
        <v>50000</v>
      </c>
      <c r="I67" s="620"/>
      <c r="J67" s="623"/>
      <c r="K67" s="53"/>
      <c r="L67" s="30"/>
      <c r="M67" s="65"/>
      <c r="N67" s="65"/>
      <c r="O67" s="69"/>
      <c r="P67" s="357"/>
      <c r="Q67" s="57"/>
      <c r="R67" s="16"/>
      <c r="S67" s="57"/>
      <c r="T67" s="69"/>
      <c r="U67" s="69"/>
      <c r="V67" s="69"/>
    </row>
    <row r="68" spans="1:22" s="2" customFormat="1" ht="12.75" customHeight="1">
      <c r="A68" s="124"/>
      <c r="B68" s="584" t="s">
        <v>324</v>
      </c>
      <c r="C68" s="581"/>
      <c r="D68" s="582"/>
      <c r="E68" s="583"/>
      <c r="F68" s="583"/>
      <c r="G68" s="582">
        <v>50000</v>
      </c>
      <c r="H68" s="582"/>
      <c r="I68" s="582"/>
      <c r="J68" s="607">
        <v>50000</v>
      </c>
      <c r="K68" s="53"/>
      <c r="L68" s="30"/>
      <c r="M68" s="65"/>
      <c r="N68" s="65"/>
      <c r="O68" s="69"/>
      <c r="P68" s="357"/>
      <c r="Q68" s="57"/>
      <c r="R68" s="16">
        <f>J68</f>
        <v>50000</v>
      </c>
      <c r="S68" s="57"/>
      <c r="T68" s="69"/>
      <c r="U68" s="69"/>
      <c r="V68" s="69"/>
    </row>
    <row r="69" spans="1:22" s="2" customFormat="1" ht="12.75" customHeight="1">
      <c r="A69" s="124"/>
      <c r="B69" s="585" t="s">
        <v>267</v>
      </c>
      <c r="C69" s="586">
        <v>402930</v>
      </c>
      <c r="D69" s="565">
        <v>340000</v>
      </c>
      <c r="E69" s="566">
        <v>510154</v>
      </c>
      <c r="F69" s="566">
        <v>510154</v>
      </c>
      <c r="G69" s="399"/>
      <c r="H69" s="399"/>
      <c r="I69" s="622"/>
      <c r="J69" s="615"/>
      <c r="K69" s="53"/>
      <c r="L69" s="30"/>
      <c r="M69" s="65"/>
      <c r="N69" s="65"/>
      <c r="O69" s="69"/>
      <c r="P69" s="357"/>
      <c r="Q69" s="57"/>
      <c r="R69" s="16"/>
      <c r="S69" s="57"/>
      <c r="T69" s="69"/>
      <c r="U69" s="69"/>
      <c r="V69" s="69"/>
    </row>
    <row r="70" spans="1:22" s="2" customFormat="1" ht="12.75" customHeight="1">
      <c r="A70" s="124"/>
      <c r="B70" s="585" t="s">
        <v>296</v>
      </c>
      <c r="C70" s="586"/>
      <c r="D70" s="565">
        <v>55000</v>
      </c>
      <c r="E70" s="439"/>
      <c r="F70" s="439"/>
      <c r="G70" s="399"/>
      <c r="H70" s="399"/>
      <c r="I70" s="399"/>
      <c r="J70" s="615"/>
      <c r="K70" s="53"/>
      <c r="L70" s="30"/>
      <c r="M70" s="65"/>
      <c r="N70" s="65"/>
      <c r="O70" s="69"/>
      <c r="P70" s="357"/>
      <c r="Q70" s="57"/>
      <c r="R70" s="16"/>
      <c r="S70" s="57"/>
      <c r="T70" s="69"/>
      <c r="U70" s="69"/>
      <c r="V70" s="69"/>
    </row>
    <row r="71" spans="1:19" s="2" customFormat="1" ht="12.75" customHeight="1">
      <c r="A71" s="124"/>
      <c r="B71" s="588" t="s">
        <v>325</v>
      </c>
      <c r="C71" s="567">
        <v>30000</v>
      </c>
      <c r="D71" s="565">
        <v>42000</v>
      </c>
      <c r="E71" s="566">
        <f>C71</f>
        <v>30000</v>
      </c>
      <c r="F71" s="566">
        <v>30000</v>
      </c>
      <c r="G71" s="565">
        <v>30000</v>
      </c>
      <c r="H71" s="565"/>
      <c r="I71" s="565"/>
      <c r="J71" s="608">
        <v>30000</v>
      </c>
      <c r="K71" s="53"/>
      <c r="L71" s="30"/>
      <c r="M71" s="65"/>
      <c r="N71" s="65"/>
      <c r="O71" s="69"/>
      <c r="P71" s="357"/>
      <c r="Q71" s="57"/>
      <c r="R71" s="16">
        <f aca="true" t="shared" si="3" ref="R71:R100">J71</f>
        <v>30000</v>
      </c>
      <c r="S71" s="57"/>
    </row>
    <row r="72" spans="1:19" s="2" customFormat="1" ht="12.75" customHeight="1">
      <c r="A72" s="124"/>
      <c r="B72" s="588" t="s">
        <v>295</v>
      </c>
      <c r="C72" s="567"/>
      <c r="D72" s="565">
        <v>30000</v>
      </c>
      <c r="E72" s="439"/>
      <c r="F72" s="439"/>
      <c r="G72" s="399"/>
      <c r="H72" s="399"/>
      <c r="I72" s="399"/>
      <c r="J72" s="615"/>
      <c r="K72" s="53"/>
      <c r="L72" s="30"/>
      <c r="M72" s="65"/>
      <c r="N72" s="65"/>
      <c r="O72" s="69"/>
      <c r="P72" s="357"/>
      <c r="Q72" s="57"/>
      <c r="R72" s="16"/>
      <c r="S72" s="57"/>
    </row>
    <row r="73" spans="1:19" s="2" customFormat="1" ht="12.75" customHeight="1">
      <c r="A73" s="124"/>
      <c r="B73" s="589" t="s">
        <v>351</v>
      </c>
      <c r="C73" s="586">
        <v>40000</v>
      </c>
      <c r="D73" s="565">
        <v>40000</v>
      </c>
      <c r="E73" s="566">
        <f>C73</f>
        <v>40000</v>
      </c>
      <c r="F73" s="566">
        <v>40000</v>
      </c>
      <c r="G73" s="565">
        <v>60000</v>
      </c>
      <c r="H73" s="565"/>
      <c r="I73" s="565"/>
      <c r="J73" s="608">
        <f>60000-30000</f>
        <v>30000</v>
      </c>
      <c r="K73" s="26"/>
      <c r="L73" s="53"/>
      <c r="M73" s="65"/>
      <c r="N73" s="65"/>
      <c r="O73" s="69"/>
      <c r="P73" s="357"/>
      <c r="Q73" s="57"/>
      <c r="R73" s="16">
        <f t="shared" si="3"/>
        <v>30000</v>
      </c>
      <c r="S73" s="57"/>
    </row>
    <row r="74" spans="1:19" s="2" customFormat="1" ht="12.75" customHeight="1">
      <c r="A74" s="124"/>
      <c r="B74" s="590" t="s">
        <v>265</v>
      </c>
      <c r="C74" s="586">
        <v>40000</v>
      </c>
      <c r="D74" s="565">
        <v>40000</v>
      </c>
      <c r="E74" s="566">
        <v>10155</v>
      </c>
      <c r="F74" s="566">
        <v>10155</v>
      </c>
      <c r="G74" s="565">
        <v>25000</v>
      </c>
      <c r="H74" s="565"/>
      <c r="I74" s="565"/>
      <c r="J74" s="608">
        <v>10000</v>
      </c>
      <c r="K74" s="26"/>
      <c r="L74" s="53"/>
      <c r="M74" s="65"/>
      <c r="N74" s="65"/>
      <c r="O74" s="69"/>
      <c r="P74" s="357"/>
      <c r="Q74" s="57"/>
      <c r="R74" s="16">
        <f t="shared" si="3"/>
        <v>10000</v>
      </c>
      <c r="S74" s="57"/>
    </row>
    <row r="75" spans="1:19" s="2" customFormat="1" ht="12.75" customHeight="1">
      <c r="A75" s="124"/>
      <c r="B75" s="590" t="s">
        <v>270</v>
      </c>
      <c r="C75" s="586">
        <v>120000</v>
      </c>
      <c r="D75" s="565">
        <v>135000</v>
      </c>
      <c r="E75" s="566">
        <v>114932</v>
      </c>
      <c r="F75" s="566">
        <v>114932</v>
      </c>
      <c r="G75" s="565">
        <v>130000</v>
      </c>
      <c r="H75" s="565"/>
      <c r="I75" s="565"/>
      <c r="J75" s="608">
        <v>130000</v>
      </c>
      <c r="K75" s="26"/>
      <c r="L75" s="53"/>
      <c r="M75" s="65"/>
      <c r="N75" s="65"/>
      <c r="O75" s="69"/>
      <c r="P75" s="357"/>
      <c r="Q75" s="57"/>
      <c r="R75" s="16">
        <f t="shared" si="3"/>
        <v>130000</v>
      </c>
      <c r="S75" s="57"/>
    </row>
    <row r="76" spans="1:19" s="2" customFormat="1" ht="12.75" customHeight="1">
      <c r="A76" s="124"/>
      <c r="B76" s="590" t="s">
        <v>271</v>
      </c>
      <c r="C76" s="586">
        <v>60000</v>
      </c>
      <c r="D76" s="565">
        <v>60000</v>
      </c>
      <c r="E76" s="566">
        <v>20796</v>
      </c>
      <c r="F76" s="566">
        <v>20796</v>
      </c>
      <c r="G76" s="565">
        <v>30000</v>
      </c>
      <c r="H76" s="565">
        <v>25000</v>
      </c>
      <c r="I76" s="565"/>
      <c r="J76" s="608">
        <v>30000</v>
      </c>
      <c r="K76" s="26"/>
      <c r="L76" s="53"/>
      <c r="M76" s="65"/>
      <c r="N76" s="65"/>
      <c r="O76" s="69"/>
      <c r="P76" s="357"/>
      <c r="Q76" s="57"/>
      <c r="R76" s="16">
        <f t="shared" si="3"/>
        <v>30000</v>
      </c>
      <c r="S76" s="57"/>
    </row>
    <row r="77" spans="1:19" s="2" customFormat="1" ht="12.75" customHeight="1">
      <c r="A77" s="124"/>
      <c r="B77" s="590" t="s">
        <v>297</v>
      </c>
      <c r="C77" s="586"/>
      <c r="D77" s="565">
        <v>20000</v>
      </c>
      <c r="E77" s="439"/>
      <c r="F77" s="439"/>
      <c r="G77" s="399"/>
      <c r="H77" s="399"/>
      <c r="I77" s="399"/>
      <c r="J77" s="615"/>
      <c r="K77" s="26"/>
      <c r="L77" s="53"/>
      <c r="M77" s="65"/>
      <c r="N77" s="65"/>
      <c r="O77" s="69"/>
      <c r="P77" s="357"/>
      <c r="Q77" s="57"/>
      <c r="R77" s="16"/>
      <c r="S77" s="57"/>
    </row>
    <row r="78" spans="1:19" s="2" customFormat="1" ht="12.75" customHeight="1">
      <c r="A78" s="124"/>
      <c r="B78" s="590" t="s">
        <v>272</v>
      </c>
      <c r="C78" s="586">
        <v>15000</v>
      </c>
      <c r="D78" s="565">
        <v>15000</v>
      </c>
      <c r="E78" s="566">
        <v>14881</v>
      </c>
      <c r="F78" s="566">
        <v>14881</v>
      </c>
      <c r="G78" s="565">
        <v>15000</v>
      </c>
      <c r="H78" s="565"/>
      <c r="I78" s="565"/>
      <c r="J78" s="608">
        <v>15000</v>
      </c>
      <c r="K78" s="26"/>
      <c r="L78" s="53"/>
      <c r="M78" s="65"/>
      <c r="N78" s="65"/>
      <c r="O78" s="69"/>
      <c r="P78" s="357"/>
      <c r="Q78" s="57"/>
      <c r="R78" s="16">
        <f t="shared" si="3"/>
        <v>15000</v>
      </c>
      <c r="S78" s="57"/>
    </row>
    <row r="79" spans="1:19" s="2" customFormat="1" ht="12.75" customHeight="1">
      <c r="A79" s="124"/>
      <c r="B79" s="590" t="s">
        <v>273</v>
      </c>
      <c r="C79" s="586"/>
      <c r="D79" s="565">
        <v>45000</v>
      </c>
      <c r="E79" s="439"/>
      <c r="F79" s="439"/>
      <c r="G79" s="399"/>
      <c r="H79" s="399"/>
      <c r="I79" s="399"/>
      <c r="J79" s="615"/>
      <c r="K79" s="26"/>
      <c r="L79" s="53"/>
      <c r="M79" s="65"/>
      <c r="N79" s="65"/>
      <c r="O79" s="69"/>
      <c r="P79" s="357"/>
      <c r="Q79" s="57"/>
      <c r="R79" s="16"/>
      <c r="S79" s="57"/>
    </row>
    <row r="80" spans="1:19" s="2" customFormat="1" ht="12.75" customHeight="1">
      <c r="A80" s="124"/>
      <c r="B80" s="590" t="s">
        <v>274</v>
      </c>
      <c r="C80" s="586">
        <v>50000</v>
      </c>
      <c r="D80" s="565">
        <v>20000</v>
      </c>
      <c r="E80" s="566">
        <v>7767</v>
      </c>
      <c r="F80" s="566">
        <v>7767</v>
      </c>
      <c r="G80" s="565">
        <v>20000</v>
      </c>
      <c r="H80" s="565"/>
      <c r="I80" s="565"/>
      <c r="J80" s="608">
        <v>20000</v>
      </c>
      <c r="K80" s="26"/>
      <c r="L80" s="53"/>
      <c r="M80" s="65"/>
      <c r="N80" s="65"/>
      <c r="O80" s="69"/>
      <c r="P80" s="357"/>
      <c r="Q80" s="57"/>
      <c r="R80" s="16">
        <f t="shared" si="3"/>
        <v>20000</v>
      </c>
      <c r="S80" s="57"/>
    </row>
    <row r="81" spans="1:19" s="2" customFormat="1" ht="12.75" customHeight="1">
      <c r="A81" s="124"/>
      <c r="B81" s="590" t="s">
        <v>275</v>
      </c>
      <c r="C81" s="581">
        <v>30000</v>
      </c>
      <c r="D81" s="582">
        <v>30000</v>
      </c>
      <c r="E81" s="583">
        <f>C81</f>
        <v>30000</v>
      </c>
      <c r="F81" s="583">
        <v>30000</v>
      </c>
      <c r="G81" s="582">
        <v>20000</v>
      </c>
      <c r="H81" s="582">
        <v>10000</v>
      </c>
      <c r="I81" s="565"/>
      <c r="J81" s="608">
        <v>20000</v>
      </c>
      <c r="K81" s="26"/>
      <c r="L81" s="53"/>
      <c r="M81" s="65"/>
      <c r="N81" s="65"/>
      <c r="O81" s="69"/>
      <c r="P81" s="357"/>
      <c r="Q81" s="57"/>
      <c r="R81" s="16">
        <f t="shared" si="3"/>
        <v>20000</v>
      </c>
      <c r="S81" s="57"/>
    </row>
    <row r="82" spans="1:19" s="2" customFormat="1" ht="12.75" customHeight="1">
      <c r="A82" s="124"/>
      <c r="B82" s="590" t="s">
        <v>276</v>
      </c>
      <c r="C82" s="581">
        <v>80000</v>
      </c>
      <c r="D82" s="582">
        <v>75000</v>
      </c>
      <c r="E82" s="583">
        <v>184524</v>
      </c>
      <c r="F82" s="583">
        <v>184524</v>
      </c>
      <c r="G82" s="582">
        <v>280000</v>
      </c>
      <c r="H82" s="582">
        <v>140000</v>
      </c>
      <c r="I82" s="565"/>
      <c r="J82" s="608">
        <v>180000</v>
      </c>
      <c r="K82" s="26"/>
      <c r="L82" s="53"/>
      <c r="M82" s="65"/>
      <c r="N82" s="65"/>
      <c r="O82" s="69"/>
      <c r="P82" s="357"/>
      <c r="Q82" s="57"/>
      <c r="R82" s="16">
        <f t="shared" si="3"/>
        <v>180000</v>
      </c>
      <c r="S82" s="57"/>
    </row>
    <row r="83" spans="1:19" s="2" customFormat="1" ht="12.75" customHeight="1">
      <c r="A83" s="124"/>
      <c r="B83" s="579" t="s">
        <v>178</v>
      </c>
      <c r="C83" s="576"/>
      <c r="D83" s="620"/>
      <c r="E83" s="578">
        <v>50000</v>
      </c>
      <c r="F83" s="578">
        <v>50000</v>
      </c>
      <c r="G83" s="620"/>
      <c r="H83" s="620"/>
      <c r="I83" s="399"/>
      <c r="J83" s="615"/>
      <c r="K83" s="26"/>
      <c r="L83" s="53"/>
      <c r="M83" s="65"/>
      <c r="N83" s="65"/>
      <c r="O83" s="69"/>
      <c r="P83" s="357"/>
      <c r="Q83" s="57"/>
      <c r="R83" s="16"/>
      <c r="S83" s="57"/>
    </row>
    <row r="84" spans="1:19" s="2" customFormat="1" ht="12.75" customHeight="1">
      <c r="A84" s="124"/>
      <c r="B84" s="584" t="s">
        <v>277</v>
      </c>
      <c r="C84" s="581">
        <v>50000</v>
      </c>
      <c r="D84" s="582"/>
      <c r="E84" s="583">
        <f>C84</f>
        <v>50000</v>
      </c>
      <c r="F84" s="583">
        <v>50000</v>
      </c>
      <c r="G84" s="582">
        <v>40500</v>
      </c>
      <c r="H84" s="582">
        <v>50000</v>
      </c>
      <c r="I84" s="565"/>
      <c r="J84" s="608">
        <v>50000</v>
      </c>
      <c r="K84" s="26"/>
      <c r="L84" s="53"/>
      <c r="M84" s="65"/>
      <c r="N84" s="65"/>
      <c r="O84" s="69"/>
      <c r="P84" s="357"/>
      <c r="Q84" s="57"/>
      <c r="R84" s="16">
        <f t="shared" si="3"/>
        <v>50000</v>
      </c>
      <c r="S84" s="57"/>
    </row>
    <row r="85" spans="1:19" s="2" customFormat="1" ht="12.75" customHeight="1">
      <c r="A85" s="124"/>
      <c r="B85" s="584" t="s">
        <v>278</v>
      </c>
      <c r="C85" s="581"/>
      <c r="D85" s="582"/>
      <c r="E85" s="583"/>
      <c r="F85" s="583"/>
      <c r="G85" s="582">
        <v>0</v>
      </c>
      <c r="H85" s="582">
        <v>50000</v>
      </c>
      <c r="I85" s="565"/>
      <c r="J85" s="608">
        <v>30000</v>
      </c>
      <c r="K85" s="26"/>
      <c r="L85" s="53"/>
      <c r="M85" s="65"/>
      <c r="N85" s="65"/>
      <c r="O85" s="69"/>
      <c r="P85" s="357"/>
      <c r="Q85" s="57"/>
      <c r="R85" s="16">
        <f t="shared" si="3"/>
        <v>30000</v>
      </c>
      <c r="S85" s="57"/>
    </row>
    <row r="86" spans="1:19" s="2" customFormat="1" ht="12.75" customHeight="1">
      <c r="A86" s="124"/>
      <c r="B86" s="584" t="s">
        <v>279</v>
      </c>
      <c r="C86" s="581">
        <v>20000</v>
      </c>
      <c r="D86" s="582">
        <v>20000</v>
      </c>
      <c r="E86" s="583">
        <f>C86</f>
        <v>20000</v>
      </c>
      <c r="F86" s="583">
        <v>20000</v>
      </c>
      <c r="G86" s="620"/>
      <c r="H86" s="620"/>
      <c r="I86" s="399"/>
      <c r="J86" s="615"/>
      <c r="K86" s="26"/>
      <c r="L86" s="53"/>
      <c r="M86" s="65"/>
      <c r="N86" s="65"/>
      <c r="O86" s="69"/>
      <c r="P86" s="357"/>
      <c r="Q86" s="57"/>
      <c r="R86" s="16"/>
      <c r="S86" s="57"/>
    </row>
    <row r="87" spans="1:19" s="2" customFormat="1" ht="12.75" customHeight="1">
      <c r="A87" s="124"/>
      <c r="B87" s="584" t="s">
        <v>280</v>
      </c>
      <c r="C87" s="581">
        <v>370000</v>
      </c>
      <c r="D87" s="582">
        <v>207999</v>
      </c>
      <c r="E87" s="583">
        <f>C87</f>
        <v>370000</v>
      </c>
      <c r="F87" s="583">
        <v>370000</v>
      </c>
      <c r="G87" s="582">
        <v>370000</v>
      </c>
      <c r="H87" s="582"/>
      <c r="I87" s="565"/>
      <c r="J87" s="608">
        <v>270000</v>
      </c>
      <c r="K87" s="26"/>
      <c r="L87" s="53"/>
      <c r="M87" s="65"/>
      <c r="N87" s="65"/>
      <c r="O87" s="69"/>
      <c r="P87" s="357"/>
      <c r="Q87" s="57"/>
      <c r="R87" s="16">
        <f t="shared" si="3"/>
        <v>270000</v>
      </c>
      <c r="S87" s="57"/>
    </row>
    <row r="88" spans="1:19" s="2" customFormat="1" ht="12.75" customHeight="1">
      <c r="A88" s="124"/>
      <c r="B88" s="584" t="s">
        <v>281</v>
      </c>
      <c r="C88" s="581">
        <v>20000</v>
      </c>
      <c r="D88" s="582">
        <v>8000</v>
      </c>
      <c r="E88" s="583">
        <v>0</v>
      </c>
      <c r="F88" s="583">
        <v>0</v>
      </c>
      <c r="G88" s="582">
        <v>20000</v>
      </c>
      <c r="H88" s="582"/>
      <c r="I88" s="565"/>
      <c r="J88" s="608">
        <v>20000</v>
      </c>
      <c r="K88" s="26"/>
      <c r="L88" s="53"/>
      <c r="M88" s="65"/>
      <c r="N88" s="65"/>
      <c r="O88" s="69"/>
      <c r="P88" s="357"/>
      <c r="Q88" s="57"/>
      <c r="R88" s="16">
        <f t="shared" si="3"/>
        <v>20000</v>
      </c>
      <c r="S88" s="57"/>
    </row>
    <row r="89" spans="1:19" s="2" customFormat="1" ht="12.75" customHeight="1">
      <c r="A89" s="124"/>
      <c r="B89" s="584" t="s">
        <v>282</v>
      </c>
      <c r="C89" s="581">
        <v>50000</v>
      </c>
      <c r="D89" s="582">
        <v>12001</v>
      </c>
      <c r="E89" s="583">
        <v>34336</v>
      </c>
      <c r="F89" s="583">
        <v>34336</v>
      </c>
      <c r="G89" s="582">
        <v>50000</v>
      </c>
      <c r="H89" s="582"/>
      <c r="I89" s="565"/>
      <c r="J89" s="608">
        <f>50000-5000</f>
        <v>45000</v>
      </c>
      <c r="K89" s="26"/>
      <c r="L89" s="53"/>
      <c r="M89" s="65"/>
      <c r="N89" s="65"/>
      <c r="O89" s="69"/>
      <c r="P89" s="357"/>
      <c r="Q89" s="57"/>
      <c r="R89" s="16">
        <f t="shared" si="3"/>
        <v>45000</v>
      </c>
      <c r="S89" s="57"/>
    </row>
    <row r="90" spans="1:19" s="2" customFormat="1" ht="12.75" customHeight="1">
      <c r="A90" s="124"/>
      <c r="B90" s="579" t="s">
        <v>183</v>
      </c>
      <c r="C90" s="576"/>
      <c r="D90" s="620"/>
      <c r="E90" s="578">
        <v>10000</v>
      </c>
      <c r="F90" s="578">
        <v>10000</v>
      </c>
      <c r="G90" s="620"/>
      <c r="H90" s="620"/>
      <c r="I90" s="399"/>
      <c r="J90" s="615"/>
      <c r="K90" s="26"/>
      <c r="L90" s="53"/>
      <c r="M90" s="65"/>
      <c r="N90" s="65"/>
      <c r="O90" s="69"/>
      <c r="P90" s="357"/>
      <c r="Q90" s="57"/>
      <c r="R90" s="16"/>
      <c r="S90" s="57"/>
    </row>
    <row r="91" spans="1:19" s="2" customFormat="1" ht="12.75" customHeight="1">
      <c r="A91" s="124"/>
      <c r="B91" s="584" t="s">
        <v>327</v>
      </c>
      <c r="C91" s="581">
        <v>20000</v>
      </c>
      <c r="D91" s="582">
        <v>20000</v>
      </c>
      <c r="E91" s="583">
        <f>C91</f>
        <v>20000</v>
      </c>
      <c r="F91" s="583">
        <v>20000</v>
      </c>
      <c r="G91" s="582">
        <v>20000</v>
      </c>
      <c r="H91" s="582">
        <v>20000</v>
      </c>
      <c r="I91" s="565"/>
      <c r="J91" s="608">
        <v>10000</v>
      </c>
      <c r="K91" s="26"/>
      <c r="L91" s="53"/>
      <c r="M91" s="65"/>
      <c r="N91" s="65"/>
      <c r="O91" s="69"/>
      <c r="P91" s="357"/>
      <c r="Q91" s="57"/>
      <c r="R91" s="16">
        <f t="shared" si="3"/>
        <v>10000</v>
      </c>
      <c r="S91" s="57"/>
    </row>
    <row r="92" spans="1:19" s="2" customFormat="1" ht="12.75" customHeight="1">
      <c r="A92" s="124"/>
      <c r="B92" s="584" t="s">
        <v>321</v>
      </c>
      <c r="C92" s="581"/>
      <c r="D92" s="582"/>
      <c r="E92" s="583"/>
      <c r="F92" s="583"/>
      <c r="G92" s="582">
        <v>210000</v>
      </c>
      <c r="H92" s="582"/>
      <c r="I92" s="587"/>
      <c r="J92" s="608">
        <v>100000</v>
      </c>
      <c r="K92" s="26"/>
      <c r="L92" s="53"/>
      <c r="M92" s="65"/>
      <c r="N92" s="65"/>
      <c r="O92" s="69"/>
      <c r="P92" s="357"/>
      <c r="Q92" s="57"/>
      <c r="R92" s="16">
        <f>J92</f>
        <v>100000</v>
      </c>
      <c r="S92" s="57"/>
    </row>
    <row r="93" spans="1:19" s="2" customFormat="1" ht="12.75" customHeight="1">
      <c r="A93" s="124"/>
      <c r="B93" s="584" t="s">
        <v>320</v>
      </c>
      <c r="C93" s="581"/>
      <c r="D93" s="582"/>
      <c r="E93" s="594">
        <v>40000</v>
      </c>
      <c r="F93" s="594">
        <v>40000</v>
      </c>
      <c r="G93" s="582">
        <v>50000</v>
      </c>
      <c r="H93" s="582"/>
      <c r="I93" s="587"/>
      <c r="J93" s="608">
        <v>50000</v>
      </c>
      <c r="K93" s="26"/>
      <c r="L93" s="53"/>
      <c r="M93" s="65"/>
      <c r="N93" s="65"/>
      <c r="O93" s="69"/>
      <c r="P93" s="357"/>
      <c r="Q93" s="57"/>
      <c r="R93" s="16">
        <f>J93</f>
        <v>50000</v>
      </c>
      <c r="S93" s="57"/>
    </row>
    <row r="94" spans="1:19" s="2" customFormat="1" ht="12.75" customHeight="1">
      <c r="A94" s="124"/>
      <c r="B94" s="579" t="s">
        <v>312</v>
      </c>
      <c r="C94" s="576"/>
      <c r="D94" s="620"/>
      <c r="E94" s="621">
        <v>15000</v>
      </c>
      <c r="F94" s="621">
        <v>15000</v>
      </c>
      <c r="G94" s="620"/>
      <c r="H94" s="620"/>
      <c r="I94" s="622"/>
      <c r="J94" s="615"/>
      <c r="K94" s="26"/>
      <c r="L94" s="53"/>
      <c r="M94" s="65"/>
      <c r="N94" s="65"/>
      <c r="O94" s="69"/>
      <c r="P94" s="357"/>
      <c r="Q94" s="57"/>
      <c r="R94" s="16"/>
      <c r="S94" s="57"/>
    </row>
    <row r="95" spans="1:19" s="2" customFormat="1" ht="12.75" customHeight="1" hidden="1">
      <c r="A95" s="124"/>
      <c r="B95" s="584" t="s">
        <v>284</v>
      </c>
      <c r="C95" s="581"/>
      <c r="D95" s="582"/>
      <c r="E95" s="594"/>
      <c r="F95" s="594"/>
      <c r="G95" s="582"/>
      <c r="H95" s="582"/>
      <c r="I95" s="587"/>
      <c r="J95" s="608"/>
      <c r="K95" s="26"/>
      <c r="L95" s="53"/>
      <c r="M95" s="65"/>
      <c r="N95" s="65"/>
      <c r="O95" s="69"/>
      <c r="P95" s="357"/>
      <c r="Q95" s="57"/>
      <c r="R95" s="16">
        <f t="shared" si="3"/>
        <v>0</v>
      </c>
      <c r="S95" s="57"/>
    </row>
    <row r="96" spans="1:19" s="2" customFormat="1" ht="12.75" customHeight="1">
      <c r="A96" s="124"/>
      <c r="B96" s="625" t="s">
        <v>256</v>
      </c>
      <c r="C96" s="624"/>
      <c r="D96" s="626"/>
      <c r="E96" s="627"/>
      <c r="F96" s="627"/>
      <c r="G96" s="626"/>
      <c r="H96" s="626"/>
      <c r="I96" s="626"/>
      <c r="J96" s="628">
        <v>0</v>
      </c>
      <c r="K96" s="26"/>
      <c r="L96" s="53"/>
      <c r="M96" s="65"/>
      <c r="N96" s="65"/>
      <c r="O96" s="69"/>
      <c r="P96" s="357"/>
      <c r="Q96" s="57"/>
      <c r="R96" s="16">
        <f t="shared" si="3"/>
        <v>0</v>
      </c>
      <c r="S96" s="57"/>
    </row>
    <row r="97" spans="1:19" s="2" customFormat="1" ht="12.75" customHeight="1">
      <c r="A97" s="124"/>
      <c r="B97" s="584" t="s">
        <v>285</v>
      </c>
      <c r="C97" s="581"/>
      <c r="D97" s="582"/>
      <c r="E97" s="594"/>
      <c r="F97" s="594"/>
      <c r="G97" s="582">
        <v>90000</v>
      </c>
      <c r="H97" s="620"/>
      <c r="I97" s="622"/>
      <c r="J97" s="615"/>
      <c r="K97" s="26"/>
      <c r="L97" s="53"/>
      <c r="M97" s="65"/>
      <c r="N97" s="65"/>
      <c r="O97" s="69"/>
      <c r="P97" s="357"/>
      <c r="Q97" s="57"/>
      <c r="R97" s="16">
        <f t="shared" si="3"/>
        <v>0</v>
      </c>
      <c r="S97" s="57"/>
    </row>
    <row r="98" spans="1:19" s="2" customFormat="1" ht="12.75" customHeight="1">
      <c r="A98" s="124"/>
      <c r="B98" s="584" t="s">
        <v>319</v>
      </c>
      <c r="C98" s="581"/>
      <c r="D98" s="582"/>
      <c r="E98" s="594"/>
      <c r="F98" s="594"/>
      <c r="G98" s="582">
        <v>50000</v>
      </c>
      <c r="H98" s="582">
        <v>10000</v>
      </c>
      <c r="I98" s="587"/>
      <c r="J98" s="608">
        <v>50000</v>
      </c>
      <c r="K98" s="26"/>
      <c r="L98" s="53"/>
      <c r="M98" s="65"/>
      <c r="N98" s="65"/>
      <c r="O98" s="69"/>
      <c r="P98" s="357"/>
      <c r="Q98" s="57"/>
      <c r="R98" s="16">
        <f t="shared" si="3"/>
        <v>50000</v>
      </c>
      <c r="S98" s="57"/>
    </row>
    <row r="99" spans="1:19" s="2" customFormat="1" ht="12.75" customHeight="1">
      <c r="A99" s="124"/>
      <c r="B99" s="625" t="s">
        <v>326</v>
      </c>
      <c r="C99" s="624"/>
      <c r="D99" s="626"/>
      <c r="E99" s="627"/>
      <c r="F99" s="627"/>
      <c r="G99" s="626"/>
      <c r="H99" s="626"/>
      <c r="I99" s="626"/>
      <c r="J99" s="628">
        <v>20000</v>
      </c>
      <c r="K99" s="26"/>
      <c r="L99" s="53"/>
      <c r="M99" s="65"/>
      <c r="N99" s="65"/>
      <c r="O99" s="69"/>
      <c r="P99" s="357"/>
      <c r="Q99" s="57"/>
      <c r="R99" s="16">
        <f t="shared" si="3"/>
        <v>20000</v>
      </c>
      <c r="S99" s="57"/>
    </row>
    <row r="100" spans="1:19" s="2" customFormat="1" ht="12.75" customHeight="1">
      <c r="A100" s="124"/>
      <c r="B100" s="625" t="s">
        <v>328</v>
      </c>
      <c r="C100" s="624"/>
      <c r="D100" s="626"/>
      <c r="E100" s="627"/>
      <c r="F100" s="627"/>
      <c r="G100" s="626"/>
      <c r="H100" s="626"/>
      <c r="I100" s="626"/>
      <c r="J100" s="628">
        <v>10000</v>
      </c>
      <c r="K100" s="4"/>
      <c r="L100" s="53"/>
      <c r="M100" s="65"/>
      <c r="N100" s="65"/>
      <c r="O100" s="69"/>
      <c r="P100" s="357"/>
      <c r="Q100" s="57"/>
      <c r="R100" s="16">
        <f t="shared" si="3"/>
        <v>10000</v>
      </c>
      <c r="S100" s="57"/>
    </row>
    <row r="101" spans="1:19" s="2" customFormat="1" ht="12.75" customHeight="1">
      <c r="A101" s="124"/>
      <c r="B101" s="579" t="s">
        <v>323</v>
      </c>
      <c r="C101" s="576"/>
      <c r="D101" s="577">
        <f>130000+90000+30000+100000+57000+393700+15000</f>
        <v>815700</v>
      </c>
      <c r="E101" s="578"/>
      <c r="F101" s="578">
        <v>155382</v>
      </c>
      <c r="G101" s="577"/>
      <c r="H101" s="577"/>
      <c r="I101" s="406"/>
      <c r="J101" s="602">
        <v>0</v>
      </c>
      <c r="K101" s="26"/>
      <c r="L101" s="53"/>
      <c r="M101" s="65"/>
      <c r="N101" s="65"/>
      <c r="O101" s="69"/>
      <c r="P101" s="357"/>
      <c r="Q101" s="57"/>
      <c r="R101" s="16"/>
      <c r="S101" s="57"/>
    </row>
    <row r="102" spans="1:19" s="2" customFormat="1" ht="12.75" customHeight="1" hidden="1">
      <c r="A102" s="124"/>
      <c r="B102" s="579"/>
      <c r="C102" s="576"/>
      <c r="D102" s="577"/>
      <c r="E102" s="578"/>
      <c r="F102" s="578"/>
      <c r="G102" s="577"/>
      <c r="H102" s="577"/>
      <c r="I102" s="398"/>
      <c r="J102" s="602"/>
      <c r="K102" s="26"/>
      <c r="L102" s="53"/>
      <c r="M102" s="65"/>
      <c r="N102" s="65"/>
      <c r="O102" s="69"/>
      <c r="P102" s="357"/>
      <c r="Q102" s="57"/>
      <c r="R102" s="16"/>
      <c r="S102" s="57"/>
    </row>
    <row r="103" spans="1:19" s="2" customFormat="1" ht="12.75" customHeight="1" hidden="1">
      <c r="A103" s="124"/>
      <c r="B103" s="579"/>
      <c r="C103" s="429"/>
      <c r="D103" s="406"/>
      <c r="E103" s="441"/>
      <c r="F103" s="441"/>
      <c r="G103" s="406"/>
      <c r="H103" s="406"/>
      <c r="I103" s="406"/>
      <c r="J103" s="602"/>
      <c r="K103" s="26"/>
      <c r="L103" s="53"/>
      <c r="M103" s="65"/>
      <c r="N103" s="65"/>
      <c r="O103" s="69"/>
      <c r="P103" s="357"/>
      <c r="Q103" s="57"/>
      <c r="R103" s="16"/>
      <c r="S103" s="57"/>
    </row>
    <row r="104" spans="1:19" s="2" customFormat="1" ht="12.75" customHeight="1" hidden="1">
      <c r="A104" s="124"/>
      <c r="B104" s="579"/>
      <c r="C104" s="429"/>
      <c r="D104" s="406"/>
      <c r="E104" s="441"/>
      <c r="F104" s="441"/>
      <c r="G104" s="406"/>
      <c r="H104" s="406"/>
      <c r="I104" s="406"/>
      <c r="J104" s="602"/>
      <c r="K104" s="26"/>
      <c r="L104" s="53"/>
      <c r="M104" s="65"/>
      <c r="N104" s="65"/>
      <c r="O104" s="69"/>
      <c r="P104" s="357"/>
      <c r="Q104" s="57"/>
      <c r="R104" s="16"/>
      <c r="S104" s="57"/>
    </row>
    <row r="105" spans="1:19" s="2" customFormat="1" ht="12.75" customHeight="1" hidden="1">
      <c r="A105" s="124"/>
      <c r="B105" s="579"/>
      <c r="C105" s="429"/>
      <c r="D105" s="406"/>
      <c r="E105" s="441"/>
      <c r="F105" s="441"/>
      <c r="G105" s="406"/>
      <c r="H105" s="406"/>
      <c r="I105" s="406"/>
      <c r="J105" s="602"/>
      <c r="K105" s="26"/>
      <c r="L105" s="53"/>
      <c r="M105" s="65"/>
      <c r="N105" s="65"/>
      <c r="O105" s="69"/>
      <c r="P105" s="357"/>
      <c r="Q105" s="57"/>
      <c r="R105" s="16"/>
      <c r="S105" s="57"/>
    </row>
    <row r="106" spans="1:19" s="108" customFormat="1" ht="12.75" customHeight="1" thickBot="1">
      <c r="A106" s="284"/>
      <c r="B106" s="591" t="s">
        <v>53</v>
      </c>
      <c r="C106" s="446">
        <v>68000</v>
      </c>
      <c r="D106" s="443">
        <v>68067</v>
      </c>
      <c r="E106" s="442">
        <v>68000</v>
      </c>
      <c r="F106" s="442"/>
      <c r="G106" s="443"/>
      <c r="H106" s="443"/>
      <c r="I106" s="443"/>
      <c r="J106" s="603"/>
      <c r="K106" s="26"/>
      <c r="L106" s="53"/>
      <c r="M106" s="81"/>
      <c r="N106" s="81"/>
      <c r="O106" s="70"/>
      <c r="P106" s="364"/>
      <c r="Q106" s="57"/>
      <c r="R106" s="16"/>
      <c r="S106" s="57"/>
    </row>
    <row r="107" spans="1:19" s="11" customFormat="1" ht="14.25" thickBot="1">
      <c r="A107" s="124"/>
      <c r="B107" s="447" t="s">
        <v>13</v>
      </c>
      <c r="C107" s="178">
        <f aca="true" t="shared" si="4" ref="C107:J107">SUM(C59:C106)</f>
        <v>12493975</v>
      </c>
      <c r="D107" s="365">
        <f t="shared" si="4"/>
        <v>12314901</v>
      </c>
      <c r="E107" s="435">
        <f t="shared" si="4"/>
        <v>12888766</v>
      </c>
      <c r="F107" s="435">
        <f t="shared" si="4"/>
        <v>12988703</v>
      </c>
      <c r="G107" s="365">
        <f t="shared" si="4"/>
        <v>13719257</v>
      </c>
      <c r="H107" s="365">
        <f t="shared" si="4"/>
        <v>5064711</v>
      </c>
      <c r="I107" s="365">
        <f t="shared" si="4"/>
        <v>0</v>
      </c>
      <c r="J107" s="365">
        <f t="shared" si="4"/>
        <v>13396346</v>
      </c>
      <c r="K107" s="56"/>
      <c r="L107" s="56"/>
      <c r="M107" s="82"/>
      <c r="N107" s="82"/>
      <c r="O107" s="83"/>
      <c r="P107" s="359"/>
      <c r="Q107" s="52"/>
      <c r="R107" s="501">
        <f>SUM(R65:R106)</f>
        <v>2120000</v>
      </c>
      <c r="S107" s="134"/>
    </row>
    <row r="108" spans="1:19" s="11" customFormat="1" ht="9" customHeight="1" thickBot="1">
      <c r="A108" s="124"/>
      <c r="B108" s="327"/>
      <c r="C108" s="366"/>
      <c r="D108" s="367"/>
      <c r="E108" s="5"/>
      <c r="F108" s="5"/>
      <c r="G108" s="367"/>
      <c r="H108" s="367"/>
      <c r="I108" s="367"/>
      <c r="J108" s="609"/>
      <c r="K108" s="56"/>
      <c r="L108" s="56"/>
      <c r="M108" s="82"/>
      <c r="N108" s="82"/>
      <c r="O108" s="83"/>
      <c r="P108" s="124"/>
      <c r="Q108" s="52"/>
      <c r="R108" s="16"/>
      <c r="S108" s="134"/>
    </row>
    <row r="109" spans="1:19" s="11" customFormat="1" ht="15" thickBot="1" thickTop="1">
      <c r="A109" s="124"/>
      <c r="B109" s="340" t="s">
        <v>167</v>
      </c>
      <c r="C109" s="341"/>
      <c r="D109" s="343">
        <f aca="true" t="shared" si="5" ref="D109:J109">D107-D56</f>
        <v>-154646</v>
      </c>
      <c r="E109" s="343">
        <f t="shared" si="5"/>
        <v>0</v>
      </c>
      <c r="F109" s="343">
        <f t="shared" si="5"/>
        <v>25684</v>
      </c>
      <c r="G109" s="343">
        <f t="shared" si="5"/>
        <v>0</v>
      </c>
      <c r="H109" s="343">
        <f t="shared" si="5"/>
        <v>-171073</v>
      </c>
      <c r="I109" s="343">
        <f t="shared" si="5"/>
        <v>0</v>
      </c>
      <c r="J109" s="610">
        <f t="shared" si="5"/>
        <v>0</v>
      </c>
      <c r="K109" s="56"/>
      <c r="L109" s="56"/>
      <c r="M109" s="82"/>
      <c r="N109" s="82"/>
      <c r="O109" s="83"/>
      <c r="P109" s="124"/>
      <c r="Q109" s="52"/>
      <c r="R109" s="16"/>
      <c r="S109" s="134"/>
    </row>
    <row r="110" spans="2:19" ht="8.25" customHeight="1" thickTop="1">
      <c r="B110" s="67"/>
      <c r="C110" s="67"/>
      <c r="D110" s="67"/>
      <c r="E110" s="67"/>
      <c r="F110" s="67"/>
      <c r="G110" s="368"/>
      <c r="H110" s="368"/>
      <c r="I110" s="368"/>
      <c r="R110" s="28"/>
      <c r="S110" s="134"/>
    </row>
    <row r="111" spans="2:19" ht="18" thickBot="1">
      <c r="B111" s="874" t="s">
        <v>14</v>
      </c>
      <c r="C111" s="874"/>
      <c r="D111" s="874"/>
      <c r="E111" s="874"/>
      <c r="F111" s="874"/>
      <c r="G111" s="874"/>
      <c r="H111" s="874"/>
      <c r="I111" s="874"/>
      <c r="J111" s="874"/>
      <c r="K111" s="874"/>
      <c r="L111" s="874"/>
      <c r="R111" s="29"/>
      <c r="S111" s="134"/>
    </row>
    <row r="112" spans="2:19" ht="15">
      <c r="B112" s="454" t="s">
        <v>0</v>
      </c>
      <c r="C112" s="93" t="s">
        <v>299</v>
      </c>
      <c r="D112" s="350" t="s">
        <v>137</v>
      </c>
      <c r="E112" s="93" t="s">
        <v>299</v>
      </c>
      <c r="F112" s="350" t="s">
        <v>137</v>
      </c>
      <c r="G112" s="93" t="s">
        <v>299</v>
      </c>
      <c r="H112" s="350" t="s">
        <v>338</v>
      </c>
      <c r="I112" s="383" t="s">
        <v>302</v>
      </c>
      <c r="J112" s="598" t="s">
        <v>165</v>
      </c>
      <c r="K112" s="9"/>
      <c r="L112" s="36"/>
      <c r="M112" s="1"/>
      <c r="N112" s="1"/>
      <c r="O112" s="41"/>
      <c r="P112" s="351" t="s">
        <v>136</v>
      </c>
      <c r="R112" s="135"/>
      <c r="S112" s="134"/>
    </row>
    <row r="113" spans="2:21" ht="15.75" thickBot="1">
      <c r="B113" s="455"/>
      <c r="C113" s="539">
        <v>2015</v>
      </c>
      <c r="D113" s="353">
        <v>2015</v>
      </c>
      <c r="E113" s="540">
        <v>2016</v>
      </c>
      <c r="F113" s="540">
        <v>2016</v>
      </c>
      <c r="G113" s="353">
        <v>2017</v>
      </c>
      <c r="H113" s="418" t="s">
        <v>339</v>
      </c>
      <c r="I113" s="418" t="s">
        <v>303</v>
      </c>
      <c r="J113" s="599" t="s">
        <v>300</v>
      </c>
      <c r="K113" s="9"/>
      <c r="L113" s="36"/>
      <c r="M113" s="1"/>
      <c r="N113" s="1"/>
      <c r="O113" s="41"/>
      <c r="P113" s="355"/>
      <c r="R113" s="29"/>
      <c r="S113" s="134"/>
      <c r="T113" s="29"/>
      <c r="U113" s="29"/>
    </row>
    <row r="114" spans="1:21" s="2" customFormat="1" ht="12.75" customHeight="1">
      <c r="A114" s="124"/>
      <c r="B114" s="456" t="s">
        <v>322</v>
      </c>
      <c r="C114" s="452">
        <v>169000</v>
      </c>
      <c r="D114" s="437">
        <v>42335</v>
      </c>
      <c r="E114" s="448">
        <v>50000</v>
      </c>
      <c r="F114" s="448">
        <v>40506</v>
      </c>
      <c r="G114" s="437">
        <v>47100</v>
      </c>
      <c r="H114" s="437">
        <v>27252</v>
      </c>
      <c r="I114" s="437"/>
      <c r="J114" s="605">
        <v>45000</v>
      </c>
      <c r="K114" s="4"/>
      <c r="L114" s="30"/>
      <c r="P114" s="356"/>
      <c r="R114" s="70"/>
      <c r="S114" s="134"/>
      <c r="T114" s="70"/>
      <c r="U114" s="70"/>
    </row>
    <row r="115" spans="1:21" s="2" customFormat="1" ht="12.75" customHeight="1">
      <c r="A115" s="124"/>
      <c r="B115" s="457" t="s">
        <v>314</v>
      </c>
      <c r="C115" s="430"/>
      <c r="D115" s="398">
        <v>20088</v>
      </c>
      <c r="E115" s="397">
        <v>11000</v>
      </c>
      <c r="F115" s="397">
        <v>17147</v>
      </c>
      <c r="G115" s="398">
        <v>17300</v>
      </c>
      <c r="H115" s="398">
        <v>7095</v>
      </c>
      <c r="I115" s="398"/>
      <c r="J115" s="602">
        <v>18000</v>
      </c>
      <c r="K115" s="4"/>
      <c r="L115" s="30"/>
      <c r="P115" s="357"/>
      <c r="R115" s="70"/>
      <c r="S115" s="134"/>
      <c r="T115" s="70"/>
      <c r="U115" s="70"/>
    </row>
    <row r="116" spans="1:21" s="2" customFormat="1" ht="12.75" customHeight="1">
      <c r="A116" s="124"/>
      <c r="B116" s="457" t="s">
        <v>313</v>
      </c>
      <c r="C116" s="430"/>
      <c r="D116" s="398">
        <v>88894</v>
      </c>
      <c r="E116" s="397">
        <v>108000</v>
      </c>
      <c r="F116" s="397">
        <v>93886</v>
      </c>
      <c r="G116" s="398">
        <v>113300</v>
      </c>
      <c r="H116" s="398">
        <v>49601</v>
      </c>
      <c r="I116" s="398"/>
      <c r="J116" s="602">
        <v>115000</v>
      </c>
      <c r="K116" s="4"/>
      <c r="L116" s="30"/>
      <c r="P116" s="358"/>
      <c r="R116" s="70"/>
      <c r="S116" s="134"/>
      <c r="T116" s="70"/>
      <c r="U116" s="70"/>
    </row>
    <row r="117" spans="1:21" s="2" customFormat="1" ht="12.75" customHeight="1">
      <c r="A117" s="124"/>
      <c r="B117" s="458" t="s">
        <v>1</v>
      </c>
      <c r="C117" s="430">
        <v>25000</v>
      </c>
      <c r="D117" s="398">
        <v>0</v>
      </c>
      <c r="E117" s="595">
        <f>C117</f>
        <v>25000</v>
      </c>
      <c r="F117" s="595">
        <v>960</v>
      </c>
      <c r="G117" s="398">
        <v>20000</v>
      </c>
      <c r="H117" s="398">
        <v>0</v>
      </c>
      <c r="I117" s="398"/>
      <c r="J117" s="602">
        <f>20000-5000</f>
        <v>15000</v>
      </c>
      <c r="K117" s="4"/>
      <c r="L117" s="30"/>
      <c r="P117" s="357"/>
      <c r="R117" s="70"/>
      <c r="S117" s="134"/>
      <c r="T117" s="70"/>
      <c r="U117" s="70"/>
    </row>
    <row r="118" spans="1:21" s="2" customFormat="1" ht="12.75" customHeight="1">
      <c r="A118" s="124"/>
      <c r="B118" s="458" t="s">
        <v>197</v>
      </c>
      <c r="C118" s="430"/>
      <c r="D118" s="398">
        <v>5857</v>
      </c>
      <c r="E118" s="595">
        <v>197957</v>
      </c>
      <c r="F118" s="595">
        <v>197957</v>
      </c>
      <c r="G118" s="398"/>
      <c r="H118" s="398"/>
      <c r="I118" s="399"/>
      <c r="J118" s="602"/>
      <c r="K118" s="4"/>
      <c r="L118" s="30"/>
      <c r="P118" s="357"/>
      <c r="R118" s="70"/>
      <c r="S118" s="134"/>
      <c r="T118" s="70"/>
      <c r="U118" s="70"/>
    </row>
    <row r="119" spans="1:21" s="2" customFormat="1" ht="12.75" customHeight="1">
      <c r="A119" s="124"/>
      <c r="B119" s="458" t="s">
        <v>198</v>
      </c>
      <c r="C119" s="430"/>
      <c r="D119" s="398"/>
      <c r="E119" s="595"/>
      <c r="F119" s="595">
        <v>12364</v>
      </c>
      <c r="G119" s="398">
        <v>24960</v>
      </c>
      <c r="H119" s="398">
        <v>10358</v>
      </c>
      <c r="I119" s="399"/>
      <c r="J119" s="602">
        <f>3275+1194+1943+1429+593+589+589+589+589+589+589+589+589+589+589+589+589+248+124+454+454+454+454+556+556+184+184+539+108+120+2011+311+311+311+311+311+311+311+311+311+19</f>
        <v>24766</v>
      </c>
      <c r="K119" s="4"/>
      <c r="L119" s="30"/>
      <c r="P119" s="357"/>
      <c r="R119" s="70"/>
      <c r="S119" s="134"/>
      <c r="T119" s="70"/>
      <c r="U119" s="70"/>
    </row>
    <row r="120" spans="1:21" s="2" customFormat="1" ht="12.75" customHeight="1">
      <c r="A120" s="124"/>
      <c r="B120" s="458" t="s">
        <v>8</v>
      </c>
      <c r="C120" s="430">
        <v>6000</v>
      </c>
      <c r="D120" s="398">
        <v>25</v>
      </c>
      <c r="E120" s="595">
        <f>C120</f>
        <v>6000</v>
      </c>
      <c r="F120" s="595">
        <v>17800</v>
      </c>
      <c r="G120" s="398">
        <v>6200</v>
      </c>
      <c r="H120" s="398">
        <v>3011</v>
      </c>
      <c r="I120" s="398"/>
      <c r="J120" s="602">
        <v>7000</v>
      </c>
      <c r="K120" s="4"/>
      <c r="L120" s="26"/>
      <c r="P120" s="357"/>
      <c r="R120" s="70"/>
      <c r="S120" s="134"/>
      <c r="T120" s="70"/>
      <c r="U120" s="70"/>
    </row>
    <row r="121" spans="1:21" s="2" customFormat="1" ht="12.75" customHeight="1">
      <c r="A121" s="124"/>
      <c r="B121" s="458" t="s">
        <v>16</v>
      </c>
      <c r="C121" s="430">
        <v>95000</v>
      </c>
      <c r="D121" s="398">
        <v>56433</v>
      </c>
      <c r="E121" s="595">
        <v>235800</v>
      </c>
      <c r="F121" s="595">
        <v>205254</v>
      </c>
      <c r="G121" s="398">
        <v>280000</v>
      </c>
      <c r="H121" s="398">
        <v>34311</v>
      </c>
      <c r="I121" s="398"/>
      <c r="J121" s="602">
        <v>100000</v>
      </c>
      <c r="K121" s="4"/>
      <c r="L121" s="30"/>
      <c r="P121" s="357"/>
      <c r="R121" s="70"/>
      <c r="S121" s="134"/>
      <c r="T121" s="70"/>
      <c r="U121" s="70"/>
    </row>
    <row r="122" spans="1:21" s="2" customFormat="1" ht="12.75" customHeight="1" thickBot="1">
      <c r="A122" s="124"/>
      <c r="B122" s="549" t="s">
        <v>10</v>
      </c>
      <c r="C122" s="550">
        <v>319340</v>
      </c>
      <c r="D122" s="551">
        <v>287854</v>
      </c>
      <c r="E122" s="552">
        <v>319826</v>
      </c>
      <c r="F122" s="552">
        <v>298092</v>
      </c>
      <c r="G122" s="551">
        <v>442295</v>
      </c>
      <c r="H122" s="551">
        <v>143190</v>
      </c>
      <c r="I122" s="551"/>
      <c r="J122" s="612">
        <v>556398</v>
      </c>
      <c r="K122" s="4"/>
      <c r="L122" s="30"/>
      <c r="P122" s="359"/>
      <c r="Q122" s="70"/>
      <c r="R122" s="70"/>
      <c r="S122" s="500"/>
      <c r="T122" s="70"/>
      <c r="U122" s="70"/>
    </row>
    <row r="123" spans="1:21" s="11" customFormat="1" ht="14.25" thickBot="1">
      <c r="A123" s="124"/>
      <c r="B123" s="460" t="s">
        <v>2</v>
      </c>
      <c r="C123" s="373">
        <f aca="true" t="shared" si="6" ref="C123:J123">SUM(C114:C122)</f>
        <v>614340</v>
      </c>
      <c r="D123" s="360">
        <f t="shared" si="6"/>
        <v>501486</v>
      </c>
      <c r="E123" s="371">
        <f t="shared" si="6"/>
        <v>953583</v>
      </c>
      <c r="F123" s="371">
        <f t="shared" si="6"/>
        <v>883966</v>
      </c>
      <c r="G123" s="360">
        <f t="shared" si="6"/>
        <v>951155</v>
      </c>
      <c r="H123" s="360">
        <f t="shared" si="6"/>
        <v>274818</v>
      </c>
      <c r="I123" s="372">
        <f t="shared" si="6"/>
        <v>0</v>
      </c>
      <c r="J123" s="384">
        <f t="shared" si="6"/>
        <v>881164</v>
      </c>
      <c r="K123" s="56"/>
      <c r="L123" s="35"/>
      <c r="P123" s="124"/>
      <c r="Q123" s="16"/>
      <c r="R123" s="52"/>
      <c r="S123" s="500"/>
      <c r="T123" s="52"/>
      <c r="U123" s="52"/>
    </row>
    <row r="124" spans="2:21" ht="15.75" thickBot="1">
      <c r="B124" s="3"/>
      <c r="C124" s="17"/>
      <c r="D124" s="17"/>
      <c r="E124" s="22"/>
      <c r="F124" s="22"/>
      <c r="G124" s="362"/>
      <c r="H124" s="362"/>
      <c r="I124" s="362"/>
      <c r="J124" s="348"/>
      <c r="K124" s="15"/>
      <c r="L124" s="18"/>
      <c r="Q124" s="16"/>
      <c r="R124" s="29"/>
      <c r="T124" s="29"/>
      <c r="U124" s="29"/>
    </row>
    <row r="125" spans="2:21" ht="16.5" thickBot="1">
      <c r="B125" s="89" t="s">
        <v>3</v>
      </c>
      <c r="C125" s="17"/>
      <c r="D125" s="17"/>
      <c r="E125" s="22"/>
      <c r="F125" s="22"/>
      <c r="G125" s="362"/>
      <c r="H125" s="362"/>
      <c r="I125" s="362"/>
      <c r="J125" s="609"/>
      <c r="K125" s="32"/>
      <c r="L125" s="18"/>
      <c r="Q125" s="16"/>
      <c r="R125" s="29"/>
      <c r="T125" s="29"/>
      <c r="U125" s="29"/>
    </row>
    <row r="126" spans="2:21" ht="12.75" customHeight="1">
      <c r="B126" s="642" t="s">
        <v>11</v>
      </c>
      <c r="C126" s="452">
        <v>21000</v>
      </c>
      <c r="D126" s="437">
        <v>68390</v>
      </c>
      <c r="E126" s="448">
        <f>C126</f>
        <v>21000</v>
      </c>
      <c r="F126" s="448">
        <v>63713</v>
      </c>
      <c r="G126" s="437">
        <v>25000</v>
      </c>
      <c r="H126" s="437">
        <v>10525</v>
      </c>
      <c r="I126" s="437"/>
      <c r="J126" s="605">
        <v>40000</v>
      </c>
      <c r="K126" s="30"/>
      <c r="L126" s="30"/>
      <c r="P126" s="356"/>
      <c r="Q126" s="16"/>
      <c r="R126" s="29"/>
      <c r="T126" s="29"/>
      <c r="U126" s="29"/>
    </row>
    <row r="127" spans="2:21" ht="12.75" customHeight="1" hidden="1">
      <c r="B127" s="643" t="s">
        <v>199</v>
      </c>
      <c r="C127" s="430"/>
      <c r="D127" s="398"/>
      <c r="E127" s="397"/>
      <c r="F127" s="397"/>
      <c r="G127" s="398"/>
      <c r="H127" s="398"/>
      <c r="I127" s="399"/>
      <c r="J127" s="602"/>
      <c r="K127" s="30"/>
      <c r="L127" s="30"/>
      <c r="P127" s="357"/>
      <c r="Q127" s="16"/>
      <c r="R127" s="29"/>
      <c r="T127" s="29"/>
      <c r="U127" s="29"/>
    </row>
    <row r="128" spans="2:21" ht="12.75" customHeight="1">
      <c r="B128" s="643" t="s">
        <v>200</v>
      </c>
      <c r="C128" s="430"/>
      <c r="D128" s="398"/>
      <c r="E128" s="595">
        <v>197957</v>
      </c>
      <c r="F128" s="595">
        <v>197957</v>
      </c>
      <c r="G128" s="398"/>
      <c r="H128" s="398"/>
      <c r="I128" s="399"/>
      <c r="J128" s="602"/>
      <c r="K128" s="30"/>
      <c r="L128" s="30"/>
      <c r="P128" s="357"/>
      <c r="Q128" s="16"/>
      <c r="R128" s="29"/>
      <c r="T128" s="29"/>
      <c r="U128" s="29"/>
    </row>
    <row r="129" spans="2:21" ht="14.25" thickBot="1">
      <c r="B129" s="553" t="s">
        <v>4</v>
      </c>
      <c r="C129" s="554">
        <v>593340</v>
      </c>
      <c r="D129" s="555">
        <v>566000</v>
      </c>
      <c r="E129" s="556">
        <f>C129+486+140800</f>
        <v>734626</v>
      </c>
      <c r="F129" s="556">
        <v>734626</v>
      </c>
      <c r="G129" s="555">
        <v>926155</v>
      </c>
      <c r="H129" s="555">
        <v>380595</v>
      </c>
      <c r="I129" s="555"/>
      <c r="J129" s="613">
        <f>1038164-85000-100000-12000</f>
        <v>841164</v>
      </c>
      <c r="K129" s="54"/>
      <c r="L129" s="72"/>
      <c r="P129" s="359"/>
      <c r="Q129" s="28"/>
      <c r="R129" s="29"/>
      <c r="T129" s="29"/>
      <c r="U129" s="29"/>
    </row>
    <row r="130" spans="1:21" s="11" customFormat="1" ht="14.25" thickBot="1">
      <c r="A130" s="124"/>
      <c r="B130" s="460" t="s">
        <v>5</v>
      </c>
      <c r="C130" s="373">
        <f aca="true" t="shared" si="7" ref="C130:J130">SUM(C126:C129)</f>
        <v>614340</v>
      </c>
      <c r="D130" s="360">
        <f t="shared" si="7"/>
        <v>634390</v>
      </c>
      <c r="E130" s="371">
        <f t="shared" si="7"/>
        <v>953583</v>
      </c>
      <c r="F130" s="371">
        <f t="shared" si="7"/>
        <v>996296</v>
      </c>
      <c r="G130" s="360">
        <f t="shared" si="7"/>
        <v>951155</v>
      </c>
      <c r="H130" s="360">
        <f t="shared" si="7"/>
        <v>391120</v>
      </c>
      <c r="I130" s="372">
        <f t="shared" si="7"/>
        <v>0</v>
      </c>
      <c r="J130" s="384">
        <f t="shared" si="7"/>
        <v>881164</v>
      </c>
      <c r="K130" s="35"/>
      <c r="L130" s="56"/>
      <c r="P130" s="124"/>
      <c r="Q130" s="16"/>
      <c r="R130" s="52"/>
      <c r="S130" s="500"/>
      <c r="T130" s="52"/>
      <c r="U130" s="52"/>
    </row>
    <row r="131" spans="2:21" ht="7.5" customHeight="1" thickBot="1">
      <c r="B131" s="20"/>
      <c r="D131" s="362"/>
      <c r="G131" s="362"/>
      <c r="H131" s="362"/>
      <c r="I131" s="362"/>
      <c r="Q131" s="16"/>
      <c r="R131" s="29"/>
      <c r="T131" s="29"/>
      <c r="U131" s="29"/>
    </row>
    <row r="132" spans="2:21" ht="15" thickBot="1" thickTop="1">
      <c r="B132" s="340" t="s">
        <v>168</v>
      </c>
      <c r="C132" s="341"/>
      <c r="D132" s="343">
        <f aca="true" t="shared" si="8" ref="D132:J132">D130-D123</f>
        <v>132904</v>
      </c>
      <c r="E132" s="343">
        <f t="shared" si="8"/>
        <v>0</v>
      </c>
      <c r="F132" s="343">
        <f t="shared" si="8"/>
        <v>112330</v>
      </c>
      <c r="G132" s="343">
        <f t="shared" si="8"/>
        <v>0</v>
      </c>
      <c r="H132" s="343">
        <f t="shared" si="8"/>
        <v>116302</v>
      </c>
      <c r="I132" s="343">
        <f t="shared" si="8"/>
        <v>0</v>
      </c>
      <c r="J132" s="610">
        <f t="shared" si="8"/>
        <v>0</v>
      </c>
      <c r="Q132" s="16"/>
      <c r="R132" s="29"/>
      <c r="T132" s="29"/>
      <c r="U132" s="29"/>
    </row>
    <row r="133" spans="2:21" ht="14.25" thickTop="1">
      <c r="B133" s="20"/>
      <c r="G133" s="362"/>
      <c r="H133" s="362"/>
      <c r="I133" s="362"/>
      <c r="Q133" s="16"/>
      <c r="R133" s="29"/>
      <c r="T133" s="29"/>
      <c r="U133" s="29"/>
    </row>
    <row r="134" spans="2:21" ht="18" thickBot="1">
      <c r="B134" s="875" t="s">
        <v>15</v>
      </c>
      <c r="C134" s="875"/>
      <c r="D134" s="875"/>
      <c r="E134" s="875"/>
      <c r="F134" s="875"/>
      <c r="G134" s="875"/>
      <c r="H134" s="875"/>
      <c r="I134" s="875"/>
      <c r="J134" s="875"/>
      <c r="K134" s="875"/>
      <c r="L134" s="875"/>
      <c r="M134" s="875"/>
      <c r="N134" s="875"/>
      <c r="O134" s="875"/>
      <c r="Q134" s="16"/>
      <c r="R134" s="29"/>
      <c r="T134" s="29"/>
      <c r="U134" s="29"/>
    </row>
    <row r="135" spans="2:21" ht="15">
      <c r="B135" s="454" t="s">
        <v>0</v>
      </c>
      <c r="C135" s="93" t="s">
        <v>299</v>
      </c>
      <c r="D135" s="350" t="s">
        <v>137</v>
      </c>
      <c r="E135" s="93" t="s">
        <v>299</v>
      </c>
      <c r="F135" s="350" t="s">
        <v>137</v>
      </c>
      <c r="G135" s="93" t="s">
        <v>299</v>
      </c>
      <c r="H135" s="350" t="s">
        <v>338</v>
      </c>
      <c r="I135" s="383" t="s">
        <v>302</v>
      </c>
      <c r="J135" s="598" t="s">
        <v>165</v>
      </c>
      <c r="K135" s="9"/>
      <c r="L135" s="36"/>
      <c r="M135" s="1"/>
      <c r="N135" s="1"/>
      <c r="O135" s="41"/>
      <c r="P135" s="351" t="s">
        <v>136</v>
      </c>
      <c r="Q135" s="16"/>
      <c r="R135" s="29"/>
      <c r="T135" s="29"/>
      <c r="U135" s="29"/>
    </row>
    <row r="136" spans="2:21" ht="15.75" thickBot="1">
      <c r="B136" s="470"/>
      <c r="C136" s="539">
        <v>2015</v>
      </c>
      <c r="D136" s="353">
        <v>2015</v>
      </c>
      <c r="E136" s="540">
        <v>2016</v>
      </c>
      <c r="F136" s="540">
        <v>2016</v>
      </c>
      <c r="G136" s="353">
        <v>2017</v>
      </c>
      <c r="H136" s="418" t="s">
        <v>339</v>
      </c>
      <c r="I136" s="418" t="s">
        <v>303</v>
      </c>
      <c r="J136" s="599" t="s">
        <v>300</v>
      </c>
      <c r="K136" s="9"/>
      <c r="L136" s="36"/>
      <c r="M136" s="1"/>
      <c r="N136" s="1"/>
      <c r="O136" s="41"/>
      <c r="P136" s="355"/>
      <c r="Q136" s="16"/>
      <c r="R136" s="29"/>
      <c r="T136" s="29"/>
      <c r="U136" s="29"/>
    </row>
    <row r="137" spans="2:21" ht="13.5">
      <c r="B137" s="471" t="s">
        <v>315</v>
      </c>
      <c r="C137" s="467">
        <v>95000</v>
      </c>
      <c r="D137" s="437">
        <v>47883</v>
      </c>
      <c r="E137" s="448">
        <v>60000</v>
      </c>
      <c r="F137" s="448">
        <v>42131</v>
      </c>
      <c r="G137" s="437">
        <v>60000</v>
      </c>
      <c r="H137" s="437">
        <v>33283</v>
      </c>
      <c r="I137" s="437"/>
      <c r="J137" s="605">
        <v>60000</v>
      </c>
      <c r="K137" s="4"/>
      <c r="L137" s="4"/>
      <c r="M137" s="31"/>
      <c r="N137" s="31"/>
      <c r="O137" s="10"/>
      <c r="P137" s="356"/>
      <c r="Q137" s="16"/>
      <c r="R137" s="29"/>
      <c r="T137" s="29"/>
      <c r="U137" s="29"/>
    </row>
    <row r="138" spans="2:21" ht="13.5">
      <c r="B138" s="472" t="s">
        <v>314</v>
      </c>
      <c r="C138" s="468"/>
      <c r="D138" s="398">
        <v>2902</v>
      </c>
      <c r="E138" s="397">
        <v>5000</v>
      </c>
      <c r="F138" s="397">
        <v>4116</v>
      </c>
      <c r="G138" s="398">
        <v>5000</v>
      </c>
      <c r="H138" s="398">
        <v>1152</v>
      </c>
      <c r="I138" s="398"/>
      <c r="J138" s="602">
        <v>5000</v>
      </c>
      <c r="K138" s="4"/>
      <c r="L138" s="4"/>
      <c r="M138" s="31"/>
      <c r="N138" s="31"/>
      <c r="O138" s="10"/>
      <c r="P138" s="357"/>
      <c r="Q138" s="16"/>
      <c r="R138" s="29"/>
      <c r="T138" s="29"/>
      <c r="U138" s="29"/>
    </row>
    <row r="139" spans="2:21" ht="13.5">
      <c r="B139" s="478" t="s">
        <v>313</v>
      </c>
      <c r="C139" s="479"/>
      <c r="D139" s="423">
        <v>13904</v>
      </c>
      <c r="E139" s="422">
        <v>30000</v>
      </c>
      <c r="F139" s="422">
        <v>12739</v>
      </c>
      <c r="G139" s="423">
        <v>20000</v>
      </c>
      <c r="H139" s="423">
        <v>7156</v>
      </c>
      <c r="I139" s="423"/>
      <c r="J139" s="614">
        <v>20000</v>
      </c>
      <c r="K139" s="4"/>
      <c r="L139" s="4"/>
      <c r="M139" s="31"/>
      <c r="N139" s="31"/>
      <c r="O139" s="10"/>
      <c r="P139" s="357"/>
      <c r="Q139" s="16"/>
      <c r="R139" s="29"/>
      <c r="T139" s="29"/>
      <c r="U139" s="29"/>
    </row>
    <row r="140" spans="2:21" ht="13.5">
      <c r="B140" s="476" t="s">
        <v>1</v>
      </c>
      <c r="C140" s="477">
        <v>25000</v>
      </c>
      <c r="D140" s="411">
        <v>800</v>
      </c>
      <c r="E140" s="410">
        <f>C140</f>
        <v>25000</v>
      </c>
      <c r="F140" s="410">
        <v>1990</v>
      </c>
      <c r="G140" s="411">
        <v>10000</v>
      </c>
      <c r="H140" s="411">
        <v>0</v>
      </c>
      <c r="I140" s="411"/>
      <c r="J140" s="601">
        <f>10000-5000</f>
        <v>5000</v>
      </c>
      <c r="K140" s="4"/>
      <c r="L140" s="4"/>
      <c r="M140" s="31"/>
      <c r="N140" s="31"/>
      <c r="O140" s="10"/>
      <c r="P140" s="357"/>
      <c r="Q140" s="16"/>
      <c r="R140" s="29"/>
      <c r="T140" s="29"/>
      <c r="U140" s="29"/>
    </row>
    <row r="141" spans="2:21" ht="13.5">
      <c r="B141" s="473" t="s">
        <v>8</v>
      </c>
      <c r="C141" s="468">
        <v>36000</v>
      </c>
      <c r="D141" s="398">
        <v>39835</v>
      </c>
      <c r="E141" s="397">
        <f aca="true" t="shared" si="9" ref="E141:E148">C141</f>
        <v>36000</v>
      </c>
      <c r="F141" s="397">
        <v>80846</v>
      </c>
      <c r="G141" s="398">
        <v>50000</v>
      </c>
      <c r="H141" s="398">
        <v>5787</v>
      </c>
      <c r="I141" s="398"/>
      <c r="J141" s="602">
        <v>50000</v>
      </c>
      <c r="K141" s="4"/>
      <c r="L141" s="4"/>
      <c r="M141" s="31"/>
      <c r="N141" s="31"/>
      <c r="O141" s="10"/>
      <c r="P141" s="357"/>
      <c r="Q141" s="16"/>
      <c r="R141" s="29"/>
      <c r="T141" s="29"/>
      <c r="U141" s="29"/>
    </row>
    <row r="142" spans="2:21" ht="13.5">
      <c r="B142" s="473" t="s">
        <v>9</v>
      </c>
      <c r="C142" s="468">
        <v>1000</v>
      </c>
      <c r="D142" s="398">
        <v>94</v>
      </c>
      <c r="E142" s="397">
        <f t="shared" si="9"/>
        <v>1000</v>
      </c>
      <c r="F142" s="397">
        <v>346</v>
      </c>
      <c r="G142" s="398">
        <v>15000</v>
      </c>
      <c r="H142" s="398">
        <v>201</v>
      </c>
      <c r="I142" s="399"/>
      <c r="J142" s="602">
        <f>15000-5000</f>
        <v>10000</v>
      </c>
      <c r="K142" s="4"/>
      <c r="L142" s="4"/>
      <c r="M142" s="31"/>
      <c r="N142" s="31"/>
      <c r="O142" s="10"/>
      <c r="P142" s="357"/>
      <c r="Q142" s="16"/>
      <c r="R142" s="29"/>
      <c r="T142" s="29"/>
      <c r="U142" s="29"/>
    </row>
    <row r="143" spans="2:21" ht="13.5">
      <c r="B143" s="473" t="s">
        <v>16</v>
      </c>
      <c r="C143" s="468">
        <v>311000</v>
      </c>
      <c r="D143" s="398">
        <f>331542-68926+37020</f>
        <v>299636</v>
      </c>
      <c r="E143" s="397">
        <f t="shared" si="9"/>
        <v>311000</v>
      </c>
      <c r="F143" s="397">
        <v>140614</v>
      </c>
      <c r="G143" s="398">
        <v>250000</v>
      </c>
      <c r="H143" s="398">
        <v>17766</v>
      </c>
      <c r="I143" s="399"/>
      <c r="J143" s="602">
        <f>250000-50000</f>
        <v>200000</v>
      </c>
      <c r="K143" s="4"/>
      <c r="L143" s="4"/>
      <c r="M143" s="31"/>
      <c r="N143" s="31"/>
      <c r="O143" s="10"/>
      <c r="P143" s="357"/>
      <c r="Q143" s="124" t="s">
        <v>174</v>
      </c>
      <c r="R143" s="29"/>
      <c r="S143" s="516" t="s">
        <v>291</v>
      </c>
      <c r="T143" s="29"/>
      <c r="U143" s="29"/>
    </row>
    <row r="144" spans="2:21" ht="13.5">
      <c r="B144" s="473" t="s">
        <v>57</v>
      </c>
      <c r="C144" s="468">
        <v>2500</v>
      </c>
      <c r="D144" s="398">
        <v>2110</v>
      </c>
      <c r="E144" s="397">
        <f t="shared" si="9"/>
        <v>2500</v>
      </c>
      <c r="F144" s="397">
        <v>0</v>
      </c>
      <c r="G144" s="398"/>
      <c r="H144" s="398"/>
      <c r="I144" s="398"/>
      <c r="J144" s="602">
        <v>0</v>
      </c>
      <c r="K144" s="4"/>
      <c r="L144" s="4"/>
      <c r="M144" s="31"/>
      <c r="N144" s="31"/>
      <c r="O144" s="10"/>
      <c r="P144" s="357"/>
      <c r="Q144" s="53"/>
      <c r="R144" s="29"/>
      <c r="T144" s="29"/>
      <c r="U144" s="29"/>
    </row>
    <row r="145" spans="1:21" ht="13.5">
      <c r="A145" s="124">
        <v>1315</v>
      </c>
      <c r="B145" s="473" t="s">
        <v>59</v>
      </c>
      <c r="C145" s="468">
        <v>25000</v>
      </c>
      <c r="D145" s="398">
        <v>30675</v>
      </c>
      <c r="E145" s="397">
        <f t="shared" si="9"/>
        <v>25000</v>
      </c>
      <c r="F145" s="397">
        <v>3754</v>
      </c>
      <c r="G145" s="398">
        <v>66000</v>
      </c>
      <c r="H145" s="398">
        <v>14826</v>
      </c>
      <c r="I145" s="399"/>
      <c r="J145" s="602">
        <v>66000</v>
      </c>
      <c r="K145" s="4"/>
      <c r="L145" s="4"/>
      <c r="M145" s="31"/>
      <c r="N145" s="31"/>
      <c r="O145" s="10"/>
      <c r="P145" s="357" t="s">
        <v>145</v>
      </c>
      <c r="Q145" s="53">
        <f>J145</f>
        <v>66000</v>
      </c>
      <c r="R145" s="29"/>
      <c r="S145" s="515">
        <v>41000</v>
      </c>
      <c r="T145" s="29"/>
      <c r="U145" s="29"/>
    </row>
    <row r="146" spans="1:21" ht="13.5">
      <c r="A146" s="124">
        <v>1309</v>
      </c>
      <c r="B146" s="473" t="s">
        <v>223</v>
      </c>
      <c r="C146" s="468">
        <v>20000</v>
      </c>
      <c r="D146" s="398">
        <v>124373</v>
      </c>
      <c r="E146" s="397">
        <f t="shared" si="9"/>
        <v>20000</v>
      </c>
      <c r="F146" s="397">
        <v>127566</v>
      </c>
      <c r="G146" s="398">
        <v>135000</v>
      </c>
      <c r="H146" s="398">
        <v>38163</v>
      </c>
      <c r="I146" s="399"/>
      <c r="J146" s="602">
        <v>135000</v>
      </c>
      <c r="K146" s="4"/>
      <c r="L146" s="4"/>
      <c r="M146" s="31"/>
      <c r="N146" s="31"/>
      <c r="O146" s="10"/>
      <c r="P146" s="357" t="s">
        <v>148</v>
      </c>
      <c r="Q146" s="53">
        <f>J146</f>
        <v>135000</v>
      </c>
      <c r="R146" s="29"/>
      <c r="S146" s="515">
        <v>95000</v>
      </c>
      <c r="T146" s="29"/>
      <c r="U146" s="29"/>
    </row>
    <row r="147" spans="1:21" ht="13.5">
      <c r="A147" s="124">
        <v>1327</v>
      </c>
      <c r="B147" s="473" t="s">
        <v>203</v>
      </c>
      <c r="C147" s="468">
        <v>15000</v>
      </c>
      <c r="D147" s="398">
        <v>14748</v>
      </c>
      <c r="E147" s="397">
        <f t="shared" si="9"/>
        <v>15000</v>
      </c>
      <c r="F147" s="397">
        <v>15574</v>
      </c>
      <c r="G147" s="398">
        <v>20000</v>
      </c>
      <c r="H147" s="398">
        <v>1005</v>
      </c>
      <c r="I147" s="399"/>
      <c r="J147" s="602">
        <v>30000</v>
      </c>
      <c r="K147" s="4"/>
      <c r="L147" s="4"/>
      <c r="M147" s="31"/>
      <c r="N147" s="31"/>
      <c r="O147" s="10"/>
      <c r="P147" s="357" t="s">
        <v>144</v>
      </c>
      <c r="Q147" s="53">
        <f>J147</f>
        <v>30000</v>
      </c>
      <c r="R147" s="29"/>
      <c r="S147" s="515"/>
      <c r="T147" s="29"/>
      <c r="U147" s="29"/>
    </row>
    <row r="148" spans="1:21" ht="13.5">
      <c r="A148" s="124">
        <v>1317</v>
      </c>
      <c r="B148" s="473" t="s">
        <v>204</v>
      </c>
      <c r="C148" s="468">
        <v>30000</v>
      </c>
      <c r="D148" s="398"/>
      <c r="E148" s="397">
        <f t="shared" si="9"/>
        <v>30000</v>
      </c>
      <c r="F148" s="397">
        <v>39066</v>
      </c>
      <c r="G148" s="398">
        <v>32000</v>
      </c>
      <c r="H148" s="398">
        <v>0</v>
      </c>
      <c r="I148" s="399"/>
      <c r="J148" s="602">
        <v>32000</v>
      </c>
      <c r="K148" s="4"/>
      <c r="L148" s="4"/>
      <c r="M148" s="31"/>
      <c r="N148" s="31"/>
      <c r="O148" s="10"/>
      <c r="P148" s="357" t="s">
        <v>234</v>
      </c>
      <c r="Q148" s="53">
        <f>J148</f>
        <v>32000</v>
      </c>
      <c r="R148" s="29"/>
      <c r="S148" s="515">
        <v>12000</v>
      </c>
      <c r="T148" s="29"/>
      <c r="U148" s="29"/>
    </row>
    <row r="149" spans="2:21" ht="14.25" thickBot="1">
      <c r="B149" s="557" t="s">
        <v>10</v>
      </c>
      <c r="C149" s="558">
        <v>751129</v>
      </c>
      <c r="D149" s="551">
        <v>731469</v>
      </c>
      <c r="E149" s="552">
        <v>753477</v>
      </c>
      <c r="F149" s="552">
        <v>703845</v>
      </c>
      <c r="G149" s="551">
        <v>961688</v>
      </c>
      <c r="H149" s="551">
        <v>334787</v>
      </c>
      <c r="I149" s="551"/>
      <c r="J149" s="612">
        <v>1050442</v>
      </c>
      <c r="K149" s="4"/>
      <c r="L149" s="4"/>
      <c r="M149" s="31"/>
      <c r="N149" s="31"/>
      <c r="O149" s="10"/>
      <c r="P149" s="359"/>
      <c r="Q149" s="16"/>
      <c r="R149" s="29"/>
      <c r="S149" s="515"/>
      <c r="T149" s="29"/>
      <c r="U149" s="29"/>
    </row>
    <row r="150" spans="1:21" s="11" customFormat="1" ht="14.25" thickBot="1">
      <c r="A150" s="124"/>
      <c r="B150" s="475" t="s">
        <v>2</v>
      </c>
      <c r="C150" s="331">
        <f aca="true" t="shared" si="10" ref="C150:J150">SUM(C137:C149)</f>
        <v>1311629</v>
      </c>
      <c r="D150" s="365">
        <f t="shared" si="10"/>
        <v>1308429</v>
      </c>
      <c r="E150" s="77">
        <f t="shared" si="10"/>
        <v>1313977</v>
      </c>
      <c r="F150" s="77">
        <f t="shared" si="10"/>
        <v>1172587</v>
      </c>
      <c r="G150" s="365">
        <f t="shared" si="10"/>
        <v>1624688</v>
      </c>
      <c r="H150" s="365">
        <f t="shared" si="10"/>
        <v>454126</v>
      </c>
      <c r="I150" s="365">
        <f t="shared" si="10"/>
        <v>0</v>
      </c>
      <c r="J150" s="365">
        <f t="shared" si="10"/>
        <v>1663442</v>
      </c>
      <c r="K150" s="5"/>
      <c r="L150" s="85"/>
      <c r="M150" s="51"/>
      <c r="N150" s="51"/>
      <c r="O150" s="83"/>
      <c r="P150" s="124"/>
      <c r="Q150" s="511">
        <f>SUM(Q144:Q149)</f>
        <v>263000</v>
      </c>
      <c r="R150" s="52"/>
      <c r="S150" s="519">
        <f>SUM(S145:S149)</f>
        <v>148000</v>
      </c>
      <c r="T150" s="52"/>
      <c r="U150" s="52"/>
    </row>
    <row r="151" spans="2:21" ht="15.75" thickBot="1">
      <c r="B151" s="21"/>
      <c r="C151" s="23"/>
      <c r="D151" s="23"/>
      <c r="E151" s="22"/>
      <c r="F151" s="22"/>
      <c r="G151" s="362"/>
      <c r="H151" s="362"/>
      <c r="I151" s="362"/>
      <c r="K151" s="31"/>
      <c r="L151" s="31"/>
      <c r="M151" s="31"/>
      <c r="N151" s="31"/>
      <c r="O151" s="10"/>
      <c r="Q151" s="29"/>
      <c r="R151" s="29"/>
      <c r="T151" s="29"/>
      <c r="U151" s="29"/>
    </row>
    <row r="152" spans="2:21" ht="15.75" thickBot="1">
      <c r="B152" s="24" t="s">
        <v>3</v>
      </c>
      <c r="C152" s="23"/>
      <c r="D152" s="23"/>
      <c r="E152" s="22"/>
      <c r="F152" s="22"/>
      <c r="G152" s="362"/>
      <c r="H152" s="362"/>
      <c r="I152" s="362"/>
      <c r="K152" s="31"/>
      <c r="L152" s="31"/>
      <c r="M152" s="31"/>
      <c r="N152" s="31"/>
      <c r="O152" s="10"/>
      <c r="Q152" s="135"/>
      <c r="R152" s="29"/>
      <c r="T152" s="29"/>
      <c r="U152" s="29"/>
    </row>
    <row r="153" spans="2:21" ht="13.5">
      <c r="B153" s="471" t="s">
        <v>11</v>
      </c>
      <c r="C153" s="467">
        <v>265000</v>
      </c>
      <c r="D153" s="437">
        <v>421110</v>
      </c>
      <c r="E153" s="448">
        <f>C153</f>
        <v>265000</v>
      </c>
      <c r="F153" s="448">
        <v>272081</v>
      </c>
      <c r="G153" s="437">
        <v>345000</v>
      </c>
      <c r="H153" s="437">
        <v>73907</v>
      </c>
      <c r="I153" s="596"/>
      <c r="J153" s="605">
        <v>380000</v>
      </c>
      <c r="K153" s="4"/>
      <c r="L153" s="4"/>
      <c r="M153" s="31"/>
      <c r="N153" s="31"/>
      <c r="O153" s="10"/>
      <c r="P153" s="356"/>
      <c r="Q153" s="29"/>
      <c r="R153" s="16" t="s">
        <v>263</v>
      </c>
      <c r="T153" s="29"/>
      <c r="U153" s="29"/>
    </row>
    <row r="154" spans="2:21" ht="13.5" hidden="1">
      <c r="B154" s="476" t="s">
        <v>227</v>
      </c>
      <c r="C154" s="477"/>
      <c r="D154" s="411"/>
      <c r="E154" s="410"/>
      <c r="F154" s="410"/>
      <c r="G154" s="411"/>
      <c r="H154" s="411"/>
      <c r="I154" s="412"/>
      <c r="J154" s="601"/>
      <c r="K154" s="4"/>
      <c r="L154" s="4"/>
      <c r="M154" s="31"/>
      <c r="N154" s="31"/>
      <c r="O154" s="10"/>
      <c r="P154" s="414"/>
      <c r="Q154" s="29"/>
      <c r="R154" s="29"/>
      <c r="T154" s="29"/>
      <c r="U154" s="29"/>
    </row>
    <row r="155" spans="2:21" ht="13.5">
      <c r="B155" s="476" t="s">
        <v>12</v>
      </c>
      <c r="C155" s="477"/>
      <c r="D155" s="411"/>
      <c r="E155" s="410"/>
      <c r="F155" s="410">
        <v>27276</v>
      </c>
      <c r="G155" s="411"/>
      <c r="H155" s="411"/>
      <c r="I155" s="412"/>
      <c r="J155" s="601"/>
      <c r="K155" s="4"/>
      <c r="L155" s="4"/>
      <c r="M155" s="31"/>
      <c r="N155" s="31"/>
      <c r="O155" s="10"/>
      <c r="P155" s="414"/>
      <c r="Q155" s="29"/>
      <c r="R155" s="29"/>
      <c r="T155" s="29"/>
      <c r="U155" s="29"/>
    </row>
    <row r="156" spans="2:21" ht="13.5">
      <c r="B156" s="559" t="s">
        <v>4</v>
      </c>
      <c r="C156" s="560">
        <v>954129</v>
      </c>
      <c r="D156" s="543">
        <v>899000</v>
      </c>
      <c r="E156" s="544">
        <v>956477</v>
      </c>
      <c r="F156" s="544">
        <v>956477</v>
      </c>
      <c r="G156" s="543">
        <v>1174688</v>
      </c>
      <c r="H156" s="543">
        <v>470951</v>
      </c>
      <c r="I156" s="543"/>
      <c r="J156" s="606">
        <v>1168442</v>
      </c>
      <c r="K156" s="4"/>
      <c r="L156" s="4"/>
      <c r="M156" s="31"/>
      <c r="N156" s="31"/>
      <c r="O156" s="10"/>
      <c r="P156" s="357"/>
      <c r="Q156" s="29"/>
      <c r="R156" s="29"/>
      <c r="T156" s="29"/>
      <c r="U156" s="29"/>
    </row>
    <row r="157" spans="2:21" ht="12.75">
      <c r="B157" s="574" t="s">
        <v>60</v>
      </c>
      <c r="C157" s="575">
        <v>2500</v>
      </c>
      <c r="D157" s="565">
        <v>2500</v>
      </c>
      <c r="E157" s="566">
        <f>C157</f>
        <v>2500</v>
      </c>
      <c r="F157" s="566">
        <v>2500</v>
      </c>
      <c r="G157" s="399"/>
      <c r="H157" s="399"/>
      <c r="I157" s="399"/>
      <c r="J157" s="615"/>
      <c r="K157" s="4"/>
      <c r="L157" s="4"/>
      <c r="M157" s="31"/>
      <c r="N157" s="31"/>
      <c r="O157" s="10"/>
      <c r="P157" s="357"/>
      <c r="Q157" s="29"/>
      <c r="R157" s="29"/>
      <c r="T157" s="29"/>
      <c r="U157" s="29"/>
    </row>
    <row r="158" spans="2:21" ht="13.5">
      <c r="B158" s="574" t="s">
        <v>329</v>
      </c>
      <c r="C158" s="575">
        <v>20000</v>
      </c>
      <c r="D158" s="565">
        <v>20000</v>
      </c>
      <c r="E158" s="566">
        <f>C158</f>
        <v>20000</v>
      </c>
      <c r="F158" s="566">
        <v>20000</v>
      </c>
      <c r="G158" s="565">
        <v>40000</v>
      </c>
      <c r="H158" s="565"/>
      <c r="I158" s="565"/>
      <c r="J158" s="608">
        <v>40000</v>
      </c>
      <c r="K158" s="4"/>
      <c r="L158" s="4"/>
      <c r="M158" s="31"/>
      <c r="N158" s="31"/>
      <c r="O158" s="10"/>
      <c r="P158" s="357"/>
      <c r="Q158" s="29"/>
      <c r="R158" s="16">
        <f>J158</f>
        <v>40000</v>
      </c>
      <c r="T158" s="29"/>
      <c r="U158" s="29"/>
    </row>
    <row r="159" spans="2:21" ht="13.5">
      <c r="B159" s="574" t="s">
        <v>330</v>
      </c>
      <c r="C159" s="575">
        <v>25000</v>
      </c>
      <c r="D159" s="565">
        <v>25000</v>
      </c>
      <c r="E159" s="566">
        <f>C159</f>
        <v>25000</v>
      </c>
      <c r="F159" s="566">
        <v>25000</v>
      </c>
      <c r="G159" s="565">
        <v>25000</v>
      </c>
      <c r="H159" s="565"/>
      <c r="I159" s="565"/>
      <c r="J159" s="608">
        <v>25000</v>
      </c>
      <c r="K159" s="4"/>
      <c r="L159" s="4"/>
      <c r="M159" s="31"/>
      <c r="N159" s="31"/>
      <c r="O159" s="10"/>
      <c r="P159" s="357"/>
      <c r="Q159" s="29"/>
      <c r="R159" s="16">
        <f>J159</f>
        <v>25000</v>
      </c>
      <c r="T159" s="29"/>
      <c r="U159" s="29"/>
    </row>
    <row r="160" spans="2:21" ht="13.5">
      <c r="B160" s="574" t="s">
        <v>205</v>
      </c>
      <c r="C160" s="575"/>
      <c r="D160" s="565">
        <v>80000</v>
      </c>
      <c r="E160" s="439"/>
      <c r="F160" s="439"/>
      <c r="G160" s="399"/>
      <c r="H160" s="399"/>
      <c r="I160" s="399"/>
      <c r="J160" s="615"/>
      <c r="K160" s="4"/>
      <c r="L160" s="4"/>
      <c r="M160" s="31"/>
      <c r="N160" s="31"/>
      <c r="O160" s="10"/>
      <c r="P160" s="357"/>
      <c r="Q160" s="29"/>
      <c r="R160" s="16"/>
      <c r="T160" s="29"/>
      <c r="U160" s="29"/>
    </row>
    <row r="161" spans="2:21" ht="13.5">
      <c r="B161" s="574" t="s">
        <v>331</v>
      </c>
      <c r="C161" s="575">
        <v>15000</v>
      </c>
      <c r="D161" s="565" t="s">
        <v>207</v>
      </c>
      <c r="E161" s="566">
        <f>C161</f>
        <v>15000</v>
      </c>
      <c r="F161" s="566">
        <v>15000</v>
      </c>
      <c r="G161" s="565">
        <v>20000</v>
      </c>
      <c r="H161" s="565"/>
      <c r="I161" s="565"/>
      <c r="J161" s="608">
        <v>30000</v>
      </c>
      <c r="K161" s="4"/>
      <c r="L161" s="4"/>
      <c r="M161" s="31"/>
      <c r="N161" s="31"/>
      <c r="O161" s="10"/>
      <c r="P161" s="357"/>
      <c r="Q161" s="29"/>
      <c r="R161" s="16">
        <f>J161</f>
        <v>30000</v>
      </c>
      <c r="T161" s="29"/>
      <c r="U161" s="29"/>
    </row>
    <row r="162" spans="2:21" ht="13.5">
      <c r="B162" s="572" t="s">
        <v>332</v>
      </c>
      <c r="C162" s="573">
        <v>30000</v>
      </c>
      <c r="D162" s="565"/>
      <c r="E162" s="566">
        <f>C162</f>
        <v>30000</v>
      </c>
      <c r="F162" s="566">
        <v>30000</v>
      </c>
      <c r="G162" s="565">
        <v>20000</v>
      </c>
      <c r="H162" s="565"/>
      <c r="I162" s="565"/>
      <c r="J162" s="608">
        <v>20000</v>
      </c>
      <c r="K162" s="4"/>
      <c r="L162" s="4"/>
      <c r="M162" s="31"/>
      <c r="N162" s="31"/>
      <c r="O162" s="10"/>
      <c r="P162" s="357"/>
      <c r="Q162" s="29"/>
      <c r="R162" s="16">
        <f>J162</f>
        <v>20000</v>
      </c>
      <c r="T162" s="29"/>
      <c r="U162" s="29"/>
    </row>
    <row r="163" spans="2:21" ht="14.25" thickBot="1">
      <c r="B163" s="523" t="s">
        <v>209</v>
      </c>
      <c r="C163" s="524"/>
      <c r="D163" s="408">
        <v>12500</v>
      </c>
      <c r="E163" s="482"/>
      <c r="F163" s="482"/>
      <c r="G163" s="408"/>
      <c r="H163" s="408"/>
      <c r="I163" s="408"/>
      <c r="J163" s="603"/>
      <c r="K163" s="4"/>
      <c r="L163" s="4"/>
      <c r="M163" s="31"/>
      <c r="N163" s="31"/>
      <c r="O163" s="10"/>
      <c r="P163" s="359"/>
      <c r="T163" s="29"/>
      <c r="U163" s="29"/>
    </row>
    <row r="164" spans="1:21" s="11" customFormat="1" ht="14.25" thickBot="1">
      <c r="A164" s="124"/>
      <c r="B164" s="490" t="s">
        <v>5</v>
      </c>
      <c r="C164" s="173">
        <f aca="true" t="shared" si="11" ref="C164:J164">SUM(C153:C163)</f>
        <v>1311629</v>
      </c>
      <c r="D164" s="360">
        <f t="shared" si="11"/>
        <v>1460110</v>
      </c>
      <c r="E164" s="149">
        <f t="shared" si="11"/>
        <v>1313977</v>
      </c>
      <c r="F164" s="149">
        <f t="shared" si="11"/>
        <v>1348334</v>
      </c>
      <c r="G164" s="360">
        <f t="shared" si="11"/>
        <v>1624688</v>
      </c>
      <c r="H164" s="360">
        <f t="shared" si="11"/>
        <v>544858</v>
      </c>
      <c r="I164" s="360">
        <f t="shared" si="11"/>
        <v>0</v>
      </c>
      <c r="J164" s="360">
        <f t="shared" si="11"/>
        <v>1663442</v>
      </c>
      <c r="K164" s="51"/>
      <c r="L164" s="85"/>
      <c r="M164" s="51"/>
      <c r="N164" s="51"/>
      <c r="O164" s="83"/>
      <c r="P164" s="124"/>
      <c r="R164" s="510">
        <f>SUM(R158:R163)</f>
        <v>115000</v>
      </c>
      <c r="S164" s="500"/>
      <c r="T164" s="52"/>
      <c r="U164" s="52"/>
    </row>
    <row r="165" spans="1:21" s="11" customFormat="1" ht="9" customHeight="1" thickBot="1">
      <c r="A165" s="124"/>
      <c r="B165" s="137"/>
      <c r="C165" s="51"/>
      <c r="D165" s="51"/>
      <c r="E165" s="5"/>
      <c r="F165" s="5"/>
      <c r="G165" s="367"/>
      <c r="H165" s="367"/>
      <c r="I165" s="367"/>
      <c r="J165" s="609"/>
      <c r="K165" s="51"/>
      <c r="L165" s="85"/>
      <c r="M165" s="51"/>
      <c r="N165" s="51"/>
      <c r="O165" s="83"/>
      <c r="P165" s="124"/>
      <c r="S165" s="500"/>
      <c r="T165" s="52"/>
      <c r="U165" s="52"/>
    </row>
    <row r="166" spans="1:21" s="11" customFormat="1" ht="15" thickBot="1" thickTop="1">
      <c r="A166" s="124"/>
      <c r="B166" s="340" t="s">
        <v>169</v>
      </c>
      <c r="C166" s="341"/>
      <c r="D166" s="343">
        <f aca="true" t="shared" si="12" ref="D166:J166">D164-D150</f>
        <v>151681</v>
      </c>
      <c r="E166" s="343">
        <f t="shared" si="12"/>
        <v>0</v>
      </c>
      <c r="F166" s="343">
        <f t="shared" si="12"/>
        <v>175747</v>
      </c>
      <c r="G166" s="343">
        <f t="shared" si="12"/>
        <v>0</v>
      </c>
      <c r="H166" s="343">
        <f t="shared" si="12"/>
        <v>90732</v>
      </c>
      <c r="I166" s="343">
        <f t="shared" si="12"/>
        <v>0</v>
      </c>
      <c r="J166" s="610">
        <f t="shared" si="12"/>
        <v>0</v>
      </c>
      <c r="K166" s="51"/>
      <c r="L166" s="85"/>
      <c r="M166" s="51"/>
      <c r="N166" s="51"/>
      <c r="O166" s="83"/>
      <c r="P166" s="124"/>
      <c r="S166" s="500"/>
      <c r="T166" s="52"/>
      <c r="U166" s="52"/>
    </row>
    <row r="167" spans="1:21" s="11" customFormat="1" ht="14.25" thickTop="1">
      <c r="A167" s="124"/>
      <c r="B167" s="137"/>
      <c r="C167" s="51"/>
      <c r="D167" s="51"/>
      <c r="E167" s="5"/>
      <c r="F167" s="5"/>
      <c r="G167" s="367"/>
      <c r="H167" s="367"/>
      <c r="I167" s="367"/>
      <c r="J167" s="609"/>
      <c r="K167" s="51"/>
      <c r="L167" s="85"/>
      <c r="M167" s="51"/>
      <c r="N167" s="51"/>
      <c r="O167" s="83"/>
      <c r="P167" s="124"/>
      <c r="S167" s="500"/>
      <c r="T167" s="52"/>
      <c r="U167" s="52"/>
    </row>
    <row r="168" spans="1:21" s="6" customFormat="1" ht="18" thickBot="1">
      <c r="A168" s="63"/>
      <c r="B168" s="875" t="s">
        <v>62</v>
      </c>
      <c r="C168" s="875"/>
      <c r="D168" s="875"/>
      <c r="E168" s="875"/>
      <c r="F168" s="875"/>
      <c r="G168" s="875"/>
      <c r="H168" s="875"/>
      <c r="I168" s="875"/>
      <c r="J168" s="875"/>
      <c r="K168" s="875"/>
      <c r="L168" s="875"/>
      <c r="M168" s="875"/>
      <c r="N168" s="875"/>
      <c r="O168" s="875"/>
      <c r="P168" s="63"/>
      <c r="S168" s="7"/>
      <c r="T168" s="25"/>
      <c r="U168" s="25"/>
    </row>
    <row r="169" spans="1:19" s="25" customFormat="1" ht="15">
      <c r="A169" s="68"/>
      <c r="B169" s="454" t="s">
        <v>0</v>
      </c>
      <c r="C169" s="93" t="s">
        <v>299</v>
      </c>
      <c r="D169" s="350" t="s">
        <v>137</v>
      </c>
      <c r="E169" s="93" t="s">
        <v>299</v>
      </c>
      <c r="F169" s="350" t="s">
        <v>137</v>
      </c>
      <c r="G169" s="93" t="s">
        <v>299</v>
      </c>
      <c r="H169" s="350" t="s">
        <v>338</v>
      </c>
      <c r="I169" s="383" t="s">
        <v>302</v>
      </c>
      <c r="J169" s="598" t="s">
        <v>165</v>
      </c>
      <c r="K169" s="9"/>
      <c r="L169" s="36"/>
      <c r="M169" s="1"/>
      <c r="N169" s="1"/>
      <c r="O169" s="41"/>
      <c r="P169" s="351" t="s">
        <v>136</v>
      </c>
      <c r="S169" s="57"/>
    </row>
    <row r="170" spans="1:19" s="25" customFormat="1" ht="15.75" thickBot="1">
      <c r="A170" s="68"/>
      <c r="B170" s="455"/>
      <c r="C170" s="539">
        <v>2015</v>
      </c>
      <c r="D170" s="353">
        <v>2015</v>
      </c>
      <c r="E170" s="540">
        <v>2016</v>
      </c>
      <c r="F170" s="540">
        <v>2016</v>
      </c>
      <c r="G170" s="353">
        <v>2017</v>
      </c>
      <c r="H170" s="418" t="s">
        <v>339</v>
      </c>
      <c r="I170" s="418" t="s">
        <v>303</v>
      </c>
      <c r="J170" s="599" t="s">
        <v>300</v>
      </c>
      <c r="K170" s="9"/>
      <c r="L170" s="36"/>
      <c r="M170" s="1"/>
      <c r="N170" s="1"/>
      <c r="O170" s="41"/>
      <c r="P170" s="355"/>
      <c r="S170" s="57"/>
    </row>
    <row r="171" spans="1:19" s="25" customFormat="1" ht="13.5">
      <c r="A171" s="68"/>
      <c r="B171" s="476" t="s">
        <v>1</v>
      </c>
      <c r="C171" s="477">
        <v>10000</v>
      </c>
      <c r="D171" s="411">
        <v>0</v>
      </c>
      <c r="E171" s="410">
        <f>C171</f>
        <v>10000</v>
      </c>
      <c r="F171" s="410">
        <v>0</v>
      </c>
      <c r="G171" s="411">
        <v>5000</v>
      </c>
      <c r="H171" s="411">
        <v>0</v>
      </c>
      <c r="I171" s="411"/>
      <c r="J171" s="601">
        <v>5000</v>
      </c>
      <c r="K171" s="4"/>
      <c r="L171" s="4"/>
      <c r="M171" s="31"/>
      <c r="N171" s="31"/>
      <c r="O171" s="10"/>
      <c r="P171" s="374"/>
      <c r="S171" s="57"/>
    </row>
    <row r="172" spans="1:19" s="25" customFormat="1" ht="13.5">
      <c r="A172" s="68"/>
      <c r="B172" s="473" t="s">
        <v>8</v>
      </c>
      <c r="C172" s="468">
        <v>40000</v>
      </c>
      <c r="D172" s="398">
        <v>12723</v>
      </c>
      <c r="E172" s="397">
        <f>C172</f>
        <v>40000</v>
      </c>
      <c r="F172" s="397">
        <v>71068</v>
      </c>
      <c r="G172" s="398">
        <v>20000</v>
      </c>
      <c r="H172" s="398">
        <v>12003</v>
      </c>
      <c r="I172" s="398"/>
      <c r="J172" s="602">
        <v>20000</v>
      </c>
      <c r="K172" s="4"/>
      <c r="L172" s="4"/>
      <c r="M172" s="31"/>
      <c r="N172" s="31"/>
      <c r="O172" s="10"/>
      <c r="P172" s="375"/>
      <c r="S172" s="57"/>
    </row>
    <row r="173" spans="1:19" s="25" customFormat="1" ht="13.5">
      <c r="A173" s="68"/>
      <c r="B173" s="473" t="s">
        <v>9</v>
      </c>
      <c r="C173" s="468">
        <v>1000</v>
      </c>
      <c r="D173" s="398">
        <v>115</v>
      </c>
      <c r="E173" s="397">
        <f>C173</f>
        <v>1000</v>
      </c>
      <c r="F173" s="397">
        <v>64</v>
      </c>
      <c r="G173" s="398">
        <v>5000</v>
      </c>
      <c r="H173" s="398">
        <v>3630</v>
      </c>
      <c r="I173" s="398"/>
      <c r="J173" s="602">
        <v>5000</v>
      </c>
      <c r="K173" s="4"/>
      <c r="L173" s="4"/>
      <c r="M173" s="31"/>
      <c r="N173" s="31"/>
      <c r="O173" s="10"/>
      <c r="P173" s="375"/>
      <c r="S173" s="57"/>
    </row>
    <row r="174" spans="1:19" s="25" customFormat="1" ht="13.5">
      <c r="A174" s="68"/>
      <c r="B174" s="473" t="s">
        <v>16</v>
      </c>
      <c r="C174" s="468">
        <v>95000</v>
      </c>
      <c r="D174" s="398"/>
      <c r="E174" s="397">
        <f>C174</f>
        <v>95000</v>
      </c>
      <c r="F174" s="397">
        <v>3014</v>
      </c>
      <c r="G174" s="398">
        <v>22000</v>
      </c>
      <c r="H174" s="398">
        <v>3988</v>
      </c>
      <c r="I174" s="398"/>
      <c r="J174" s="602">
        <f>22000-2000</f>
        <v>20000</v>
      </c>
      <c r="K174" s="27"/>
      <c r="L174" s="4"/>
      <c r="M174" s="31"/>
      <c r="N174" s="31"/>
      <c r="O174" s="10"/>
      <c r="P174" s="375"/>
      <c r="S174" s="57"/>
    </row>
    <row r="175" spans="1:19" s="25" customFormat="1" ht="13.5">
      <c r="A175" s="68"/>
      <c r="B175" s="561" t="s">
        <v>10</v>
      </c>
      <c r="C175" s="562">
        <v>612871</v>
      </c>
      <c r="D175" s="547">
        <v>618557</v>
      </c>
      <c r="E175" s="548">
        <v>615136</v>
      </c>
      <c r="F175" s="548">
        <v>562379</v>
      </c>
      <c r="G175" s="547">
        <v>846137</v>
      </c>
      <c r="H175" s="547">
        <v>342381</v>
      </c>
      <c r="I175" s="547"/>
      <c r="J175" s="616">
        <v>886642</v>
      </c>
      <c r="K175" s="4"/>
      <c r="L175" s="4"/>
      <c r="M175" s="31"/>
      <c r="N175" s="31"/>
      <c r="O175" s="10"/>
      <c r="P175" s="357"/>
      <c r="Q175" s="124" t="s">
        <v>174</v>
      </c>
      <c r="S175" s="57"/>
    </row>
    <row r="176" spans="1:19" s="25" customFormat="1" ht="13.5">
      <c r="A176" s="68">
        <v>1351</v>
      </c>
      <c r="B176" s="473" t="s">
        <v>65</v>
      </c>
      <c r="C176" s="468">
        <v>90000</v>
      </c>
      <c r="D176" s="398">
        <v>70399</v>
      </c>
      <c r="E176" s="397">
        <f>C176</f>
        <v>90000</v>
      </c>
      <c r="F176" s="397">
        <v>85637</v>
      </c>
      <c r="G176" s="398">
        <v>90000</v>
      </c>
      <c r="H176" s="398">
        <v>8800</v>
      </c>
      <c r="I176" s="398"/>
      <c r="J176" s="602">
        <v>80000</v>
      </c>
      <c r="K176" s="4"/>
      <c r="L176" s="4"/>
      <c r="M176" s="31"/>
      <c r="N176" s="31"/>
      <c r="O176" s="10"/>
      <c r="P176" s="357" t="s">
        <v>253</v>
      </c>
      <c r="Q176" s="57">
        <f>J176</f>
        <v>80000</v>
      </c>
      <c r="S176" s="57"/>
    </row>
    <row r="177" spans="1:19" s="25" customFormat="1" ht="13.5">
      <c r="A177" s="68">
        <v>1350</v>
      </c>
      <c r="B177" s="473" t="s">
        <v>210</v>
      </c>
      <c r="C177" s="468">
        <v>30000</v>
      </c>
      <c r="D177" s="398">
        <v>16000</v>
      </c>
      <c r="E177" s="397">
        <f>C177</f>
        <v>30000</v>
      </c>
      <c r="F177" s="397">
        <v>23774</v>
      </c>
      <c r="G177" s="398">
        <v>30000</v>
      </c>
      <c r="H177" s="398">
        <v>16444</v>
      </c>
      <c r="I177" s="398"/>
      <c r="J177" s="602">
        <v>30000</v>
      </c>
      <c r="K177" s="4"/>
      <c r="L177" s="4"/>
      <c r="M177" s="31"/>
      <c r="N177" s="31"/>
      <c r="O177" s="10"/>
      <c r="P177" s="357" t="s">
        <v>149</v>
      </c>
      <c r="Q177" s="57">
        <f>C177</f>
        <v>30000</v>
      </c>
      <c r="S177" s="57"/>
    </row>
    <row r="178" spans="1:19" s="25" customFormat="1" ht="14.25" thickBot="1">
      <c r="A178" s="68">
        <v>1352</v>
      </c>
      <c r="B178" s="493" t="s">
        <v>63</v>
      </c>
      <c r="C178" s="479">
        <v>260000</v>
      </c>
      <c r="D178" s="492">
        <v>110000</v>
      </c>
      <c r="E178" s="422">
        <f>C178</f>
        <v>260000</v>
      </c>
      <c r="F178" s="538">
        <v>236919</v>
      </c>
      <c r="G178" s="492">
        <v>200000</v>
      </c>
      <c r="H178" s="492">
        <v>49530</v>
      </c>
      <c r="I178" s="492"/>
      <c r="J178" s="614">
        <v>180000</v>
      </c>
      <c r="K178" s="4"/>
      <c r="L178" s="4"/>
      <c r="M178" s="31"/>
      <c r="N178" s="31"/>
      <c r="O178" s="10"/>
      <c r="P178" s="359" t="s">
        <v>147</v>
      </c>
      <c r="Q178" s="57">
        <f>J178</f>
        <v>180000</v>
      </c>
      <c r="S178" s="57"/>
    </row>
    <row r="179" spans="1:19" s="25" customFormat="1" ht="14.25" thickBot="1">
      <c r="A179" s="68"/>
      <c r="B179" s="475" t="s">
        <v>2</v>
      </c>
      <c r="C179" s="173">
        <f aca="true" t="shared" si="13" ref="C179:J179">SUM(C171:C178)</f>
        <v>1138871</v>
      </c>
      <c r="D179" s="360">
        <f t="shared" si="13"/>
        <v>827794</v>
      </c>
      <c r="E179" s="149">
        <f t="shared" si="13"/>
        <v>1141136</v>
      </c>
      <c r="F179" s="149">
        <f t="shared" si="13"/>
        <v>982855</v>
      </c>
      <c r="G179" s="360">
        <f t="shared" si="13"/>
        <v>1218137</v>
      </c>
      <c r="H179" s="360">
        <f t="shared" si="13"/>
        <v>436776</v>
      </c>
      <c r="I179" s="360">
        <f t="shared" si="13"/>
        <v>0</v>
      </c>
      <c r="J179" s="360">
        <f t="shared" si="13"/>
        <v>1226642</v>
      </c>
      <c r="K179" s="5"/>
      <c r="L179" s="85"/>
      <c r="M179" s="51"/>
      <c r="N179" s="51"/>
      <c r="O179" s="83"/>
      <c r="P179" s="68"/>
      <c r="Q179" s="509">
        <f>SUM(Q176:Q178)</f>
        <v>290000</v>
      </c>
      <c r="S179" s="57"/>
    </row>
    <row r="180" spans="1:19" s="29" customFormat="1" ht="15.75" thickBot="1">
      <c r="A180" s="278"/>
      <c r="B180" s="21"/>
      <c r="C180" s="23"/>
      <c r="D180" s="362"/>
      <c r="E180" s="22"/>
      <c r="F180" s="22"/>
      <c r="G180" s="362"/>
      <c r="H180" s="362"/>
      <c r="I180" s="362"/>
      <c r="J180" s="611"/>
      <c r="K180" s="31"/>
      <c r="L180" s="31"/>
      <c r="M180" s="31"/>
      <c r="N180" s="31"/>
      <c r="O180" s="10"/>
      <c r="P180" s="278"/>
      <c r="S180" s="134"/>
    </row>
    <row r="181" spans="1:19" s="29" customFormat="1" ht="15.75" thickBot="1">
      <c r="A181" s="278"/>
      <c r="B181" s="24" t="s">
        <v>3</v>
      </c>
      <c r="C181" s="23"/>
      <c r="D181" s="362"/>
      <c r="E181" s="22"/>
      <c r="F181" s="22"/>
      <c r="G181" s="362"/>
      <c r="H181" s="362"/>
      <c r="I181" s="362"/>
      <c r="J181" s="611"/>
      <c r="K181" s="31"/>
      <c r="L181" s="31"/>
      <c r="M181" s="31"/>
      <c r="N181" s="31"/>
      <c r="O181" s="10"/>
      <c r="P181" s="278"/>
      <c r="R181" s="16" t="s">
        <v>263</v>
      </c>
      <c r="S181" s="134"/>
    </row>
    <row r="182" spans="1:19" s="29" customFormat="1" ht="13.5">
      <c r="A182" s="278"/>
      <c r="B182" s="568" t="s">
        <v>333</v>
      </c>
      <c r="C182" s="569">
        <v>30000</v>
      </c>
      <c r="D182" s="570">
        <v>16000</v>
      </c>
      <c r="E182" s="571">
        <f>C182</f>
        <v>30000</v>
      </c>
      <c r="F182" s="571">
        <v>30000</v>
      </c>
      <c r="G182" s="570">
        <v>30000</v>
      </c>
      <c r="H182" s="570">
        <v>10000</v>
      </c>
      <c r="I182" s="570"/>
      <c r="J182" s="617">
        <v>30000</v>
      </c>
      <c r="K182" s="4"/>
      <c r="L182" s="4"/>
      <c r="M182" s="31"/>
      <c r="N182" s="31"/>
      <c r="O182" s="10"/>
      <c r="P182" s="376"/>
      <c r="R182" s="16">
        <f>J182</f>
        <v>30000</v>
      </c>
      <c r="S182" s="134"/>
    </row>
    <row r="183" spans="1:19" s="29" customFormat="1" ht="13.5">
      <c r="A183" s="278"/>
      <c r="B183" s="572" t="s">
        <v>334</v>
      </c>
      <c r="C183" s="573">
        <v>90000</v>
      </c>
      <c r="D183" s="565">
        <v>70399</v>
      </c>
      <c r="E183" s="566">
        <f>C183</f>
        <v>90000</v>
      </c>
      <c r="F183" s="566">
        <v>90000</v>
      </c>
      <c r="G183" s="565">
        <v>90000</v>
      </c>
      <c r="H183" s="565">
        <v>0</v>
      </c>
      <c r="I183" s="565"/>
      <c r="J183" s="608">
        <v>80000</v>
      </c>
      <c r="K183" s="4"/>
      <c r="L183" s="4"/>
      <c r="M183" s="31"/>
      <c r="N183" s="31"/>
      <c r="O183" s="10"/>
      <c r="P183" s="364"/>
      <c r="R183" s="16">
        <f>J183</f>
        <v>80000</v>
      </c>
      <c r="S183" s="134"/>
    </row>
    <row r="184" spans="1:19" s="29" customFormat="1" ht="13.5">
      <c r="A184" s="278"/>
      <c r="B184" s="572" t="s">
        <v>335</v>
      </c>
      <c r="C184" s="573">
        <v>260000</v>
      </c>
      <c r="D184" s="565">
        <v>110000</v>
      </c>
      <c r="E184" s="566">
        <f>C184</f>
        <v>260000</v>
      </c>
      <c r="F184" s="566">
        <v>260000</v>
      </c>
      <c r="G184" s="565">
        <v>200000</v>
      </c>
      <c r="H184" s="565">
        <v>20000</v>
      </c>
      <c r="I184" s="565"/>
      <c r="J184" s="608">
        <v>180000</v>
      </c>
      <c r="K184" s="4"/>
      <c r="L184" s="4"/>
      <c r="M184" s="31"/>
      <c r="N184" s="31"/>
      <c r="O184" s="10"/>
      <c r="P184" s="364"/>
      <c r="R184" s="16">
        <f>J184</f>
        <v>180000</v>
      </c>
      <c r="S184" s="134"/>
    </row>
    <row r="185" spans="1:19" s="29" customFormat="1" ht="14.25" thickBot="1">
      <c r="A185" s="278"/>
      <c r="B185" s="495" t="s">
        <v>4</v>
      </c>
      <c r="C185" s="563">
        <v>758871</v>
      </c>
      <c r="D185" s="555">
        <v>735000</v>
      </c>
      <c r="E185" s="556">
        <v>761136</v>
      </c>
      <c r="F185" s="556">
        <v>761136</v>
      </c>
      <c r="G185" s="555">
        <v>898137</v>
      </c>
      <c r="H185" s="564">
        <v>370607</v>
      </c>
      <c r="I185" s="556"/>
      <c r="J185" s="613">
        <f>938642-2000</f>
        <v>936642</v>
      </c>
      <c r="K185" s="4"/>
      <c r="L185" s="4"/>
      <c r="M185" s="31"/>
      <c r="N185" s="31"/>
      <c r="O185" s="10"/>
      <c r="P185" s="646"/>
      <c r="R185" s="16"/>
      <c r="S185" s="134"/>
    </row>
    <row r="186" spans="1:19" s="29" customFormat="1" ht="14.25" thickBot="1">
      <c r="A186" s="278"/>
      <c r="B186" s="490" t="s">
        <v>5</v>
      </c>
      <c r="C186" s="173">
        <f aca="true" t="shared" si="14" ref="C186:J186">SUM(C182:C185)</f>
        <v>1138871</v>
      </c>
      <c r="D186" s="360">
        <f t="shared" si="14"/>
        <v>931399</v>
      </c>
      <c r="E186" s="149">
        <f t="shared" si="14"/>
        <v>1141136</v>
      </c>
      <c r="F186" s="149">
        <f t="shared" si="14"/>
        <v>1141136</v>
      </c>
      <c r="G186" s="360">
        <f t="shared" si="14"/>
        <v>1218137</v>
      </c>
      <c r="H186" s="360">
        <f t="shared" si="14"/>
        <v>400607</v>
      </c>
      <c r="I186" s="360">
        <f t="shared" si="14"/>
        <v>0</v>
      </c>
      <c r="J186" s="360">
        <f t="shared" si="14"/>
        <v>1226642</v>
      </c>
      <c r="K186" s="51"/>
      <c r="L186" s="85"/>
      <c r="M186" s="51"/>
      <c r="N186" s="51"/>
      <c r="O186" s="83"/>
      <c r="P186" s="278"/>
      <c r="R186" s="510">
        <f>SUM(R182:R185)</f>
        <v>290000</v>
      </c>
      <c r="S186" s="134"/>
    </row>
    <row r="187" spans="1:19" s="29" customFormat="1" ht="7.5" customHeight="1" thickBot="1">
      <c r="A187" s="278"/>
      <c r="B187" s="68"/>
      <c r="C187" s="68"/>
      <c r="D187" s="344"/>
      <c r="E187" s="68"/>
      <c r="F187" s="68"/>
      <c r="G187" s="344"/>
      <c r="H187" s="344"/>
      <c r="I187" s="344"/>
      <c r="J187" s="618"/>
      <c r="P187" s="278"/>
      <c r="S187" s="134"/>
    </row>
    <row r="188" spans="1:19" s="29" customFormat="1" ht="15" thickBot="1" thickTop="1">
      <c r="A188" s="278"/>
      <c r="B188" s="340" t="s">
        <v>224</v>
      </c>
      <c r="C188" s="341"/>
      <c r="D188" s="343">
        <f aca="true" t="shared" si="15" ref="D188:J188">D186-D179</f>
        <v>103605</v>
      </c>
      <c r="E188" s="343">
        <f t="shared" si="15"/>
        <v>0</v>
      </c>
      <c r="F188" s="343">
        <f t="shared" si="15"/>
        <v>158281</v>
      </c>
      <c r="G188" s="343">
        <f t="shared" si="15"/>
        <v>0</v>
      </c>
      <c r="H188" s="343">
        <f t="shared" si="15"/>
        <v>-36169</v>
      </c>
      <c r="I188" s="343">
        <f t="shared" si="15"/>
        <v>0</v>
      </c>
      <c r="J188" s="610">
        <f t="shared" si="15"/>
        <v>0</v>
      </c>
      <c r="P188" s="278"/>
      <c r="S188" s="134"/>
    </row>
    <row r="189" spans="1:19" s="29" customFormat="1" ht="10.5" customHeight="1" thickBot="1" thickTop="1">
      <c r="A189" s="278"/>
      <c r="B189" s="68"/>
      <c r="C189" s="68"/>
      <c r="D189" s="68"/>
      <c r="E189" s="68"/>
      <c r="F189" s="68"/>
      <c r="G189" s="344"/>
      <c r="H189" s="344"/>
      <c r="I189" s="344"/>
      <c r="J189" s="618"/>
      <c r="P189" s="278"/>
      <c r="S189" s="134"/>
    </row>
    <row r="190" spans="1:19" s="29" customFormat="1" ht="15" thickBot="1" thickTop="1">
      <c r="A190" s="278"/>
      <c r="B190" s="340" t="s">
        <v>170</v>
      </c>
      <c r="C190" s="341"/>
      <c r="D190" s="343">
        <f aca="true" t="shared" si="16" ref="D190:J190">D188+D166+D132+D109</f>
        <v>233544</v>
      </c>
      <c r="E190" s="343">
        <f t="shared" si="16"/>
        <v>0</v>
      </c>
      <c r="F190" s="343">
        <f t="shared" si="16"/>
        <v>472042</v>
      </c>
      <c r="G190" s="343">
        <f t="shared" si="16"/>
        <v>0</v>
      </c>
      <c r="H190" s="343">
        <f t="shared" si="16"/>
        <v>-208</v>
      </c>
      <c r="I190" s="343">
        <f t="shared" si="16"/>
        <v>0</v>
      </c>
      <c r="J190" s="610">
        <f t="shared" si="16"/>
        <v>0</v>
      </c>
      <c r="P190" s="278"/>
      <c r="Q190" s="366" t="s">
        <v>264</v>
      </c>
      <c r="R190" s="503">
        <f>R186+R164+R107</f>
        <v>2525000</v>
      </c>
      <c r="S190" s="134"/>
    </row>
    <row r="191" spans="1:19" s="29" customFormat="1" ht="13.5" thickTop="1">
      <c r="A191" s="278"/>
      <c r="B191" s="68"/>
      <c r="C191" s="68"/>
      <c r="D191" s="68"/>
      <c r="E191" s="68"/>
      <c r="F191" s="68"/>
      <c r="G191" s="344"/>
      <c r="H191" s="344"/>
      <c r="I191" s="344"/>
      <c r="J191" s="618"/>
      <c r="P191" s="278"/>
      <c r="S191" s="134"/>
    </row>
    <row r="192" spans="1:19" s="29" customFormat="1" ht="12.75">
      <c r="A192" s="278"/>
      <c r="B192" s="68"/>
      <c r="C192" s="68"/>
      <c r="D192" s="68"/>
      <c r="E192" s="344" t="s">
        <v>354</v>
      </c>
      <c r="F192" s="378" t="s">
        <v>355</v>
      </c>
      <c r="G192" s="344" t="s">
        <v>353</v>
      </c>
      <c r="H192" s="344"/>
      <c r="I192" s="379" t="s">
        <v>213</v>
      </c>
      <c r="J192" s="619" t="s">
        <v>316</v>
      </c>
      <c r="P192" s="68" t="s">
        <v>289</v>
      </c>
      <c r="S192" s="134"/>
    </row>
    <row r="193" spans="1:19" s="29" customFormat="1" ht="12.75">
      <c r="A193" s="278"/>
      <c r="B193" s="68" t="s">
        <v>214</v>
      </c>
      <c r="C193" s="68"/>
      <c r="D193" s="68"/>
      <c r="E193" s="57">
        <f>E185+E156+E129+E64</f>
        <v>9877604</v>
      </c>
      <c r="F193" s="57">
        <f>F185+F156+F129+F64</f>
        <v>9877604</v>
      </c>
      <c r="G193" s="57">
        <f>G185+G156+G129+G64</f>
        <v>10741493</v>
      </c>
      <c r="H193" s="618"/>
      <c r="I193" s="57">
        <f>I185+I156+I129+I64</f>
        <v>0</v>
      </c>
      <c r="J193" s="57">
        <f>J185+J156+J129+J64</f>
        <v>11251494</v>
      </c>
      <c r="K193" s="52"/>
      <c r="L193" s="52"/>
      <c r="M193" s="52"/>
      <c r="N193" s="52"/>
      <c r="O193" s="52"/>
      <c r="P193" s="645">
        <f>J193/G193</f>
        <v>1.0474795263563454</v>
      </c>
      <c r="S193" s="134"/>
    </row>
    <row r="194" spans="1:19" s="29" customFormat="1" ht="12.75">
      <c r="A194" s="278"/>
      <c r="B194" s="68" t="s">
        <v>336</v>
      </c>
      <c r="C194" s="68"/>
      <c r="D194" s="68"/>
      <c r="E194" s="57"/>
      <c r="F194" s="57">
        <f>F184+F183+F182+F162+F161+F159+F158+F157+F93+F91+F89+F87+F86+F84+F81+F80+F82+F78+F76+F75+F74+F73+F71+F69+F65</f>
        <v>2920045</v>
      </c>
      <c r="G194" s="57">
        <f>G184+G183+G182+G162+G161+G159+G158+G98+G97+G93+G92+G91+G89+G88+G87+G85+G82+G81+G80+G78+G76+G75+G74+G73+G71+G68+G65+G84</f>
        <v>2935500</v>
      </c>
      <c r="H194" s="618"/>
      <c r="I194" s="57"/>
      <c r="J194" s="618">
        <f>R190</f>
        <v>2525000</v>
      </c>
      <c r="K194" s="52"/>
      <c r="L194" s="52"/>
      <c r="M194" s="52"/>
      <c r="N194" s="52"/>
      <c r="O194" s="52"/>
      <c r="P194" s="645">
        <f>J194/G194</f>
        <v>0.8601601090103901</v>
      </c>
      <c r="S194" s="134"/>
    </row>
    <row r="195" spans="1:19" s="29" customFormat="1" ht="12.75">
      <c r="A195" s="278"/>
      <c r="B195" s="68"/>
      <c r="C195" s="68"/>
      <c r="D195" s="68"/>
      <c r="E195" s="57">
        <f>SUM(E193:E194)</f>
        <v>9877604</v>
      </c>
      <c r="F195" s="57">
        <f>SUM(F193:F194)</f>
        <v>12797649</v>
      </c>
      <c r="G195" s="57">
        <f>SUM(G193:G194)</f>
        <v>13676993</v>
      </c>
      <c r="H195" s="618"/>
      <c r="I195" s="618"/>
      <c r="J195" s="618">
        <f>SUM(J193:J194)</f>
        <v>13776494</v>
      </c>
      <c r="K195" s="52"/>
      <c r="L195" s="52"/>
      <c r="M195" s="52"/>
      <c r="N195" s="52"/>
      <c r="O195" s="52"/>
      <c r="P195" s="645">
        <f>J195/G195</f>
        <v>1.0072750640436827</v>
      </c>
      <c r="S195" s="134"/>
    </row>
    <row r="196" spans="2:21" ht="12.75">
      <c r="B196" s="63" t="s">
        <v>215</v>
      </c>
      <c r="C196" s="63"/>
      <c r="D196" s="63"/>
      <c r="E196" s="7">
        <f>E175+E149+E122+E15</f>
        <v>5698869</v>
      </c>
      <c r="F196" s="7">
        <f>F175+F149+F122+F15</f>
        <v>5516606</v>
      </c>
      <c r="G196" s="7">
        <f>G175+G149+G122+G15</f>
        <v>6865165</v>
      </c>
      <c r="H196" s="611"/>
      <c r="I196" s="7">
        <f>I175+I149+I122+I15</f>
        <v>0</v>
      </c>
      <c r="J196" s="7">
        <f>J175+J149+J122+J15</f>
        <v>7518643</v>
      </c>
      <c r="K196" s="11"/>
      <c r="L196" s="11"/>
      <c r="M196" s="11"/>
      <c r="N196" s="11"/>
      <c r="O196" s="11"/>
      <c r="P196" s="645">
        <f>J196/G196</f>
        <v>1.0951875155222053</v>
      </c>
      <c r="T196" s="29"/>
      <c r="U196" s="29"/>
    </row>
    <row r="197" spans="6:21" ht="12.75">
      <c r="F197" t="s">
        <v>173</v>
      </c>
      <c r="T197" s="29"/>
      <c r="U197" s="29"/>
    </row>
    <row r="198" spans="2:21" ht="12.75">
      <c r="B198" s="68" t="s">
        <v>357</v>
      </c>
      <c r="E198" s="611">
        <f>E179+E150+E123+E56</f>
        <v>16297462</v>
      </c>
      <c r="F198" s="611">
        <f>F179+F150+F123+F56</f>
        <v>16002427</v>
      </c>
      <c r="G198" s="611">
        <f>G179+G150+G123+G56</f>
        <v>17513237</v>
      </c>
      <c r="J198" s="611">
        <f>J179+J150+J123+J56</f>
        <v>17167594</v>
      </c>
      <c r="T198" s="29"/>
      <c r="U198" s="29"/>
    </row>
    <row r="199" spans="2:10" ht="12.75">
      <c r="B199" s="68" t="s">
        <v>358</v>
      </c>
      <c r="E199" s="611">
        <f>E186+E164+E130+E107</f>
        <v>16297462</v>
      </c>
      <c r="F199" s="611">
        <f>F186+F164+F130+F107</f>
        <v>16474469</v>
      </c>
      <c r="G199" s="611">
        <f>G186+G164+G130+G107</f>
        <v>17513237</v>
      </c>
      <c r="J199" s="611">
        <f>J186+J164+J130+J107</f>
        <v>17167594</v>
      </c>
    </row>
    <row r="200" spans="2:5" ht="12.75">
      <c r="B200" s="63"/>
      <c r="E200" t="s">
        <v>173</v>
      </c>
    </row>
  </sheetData>
  <sheetProtection/>
  <mergeCells count="5">
    <mergeCell ref="B1:O1"/>
    <mergeCell ref="B2:O2"/>
    <mergeCell ref="B111:L111"/>
    <mergeCell ref="B134:O134"/>
    <mergeCell ref="B168:O168"/>
  </mergeCells>
  <printOptions/>
  <pageMargins left="0.7" right="0.7" top="0.787401575" bottom="0.787401575" header="0.3" footer="0.3"/>
  <pageSetup horizontalDpi="600" verticalDpi="600" orientation="landscape" paperSize="9" scale="64" r:id="rId1"/>
  <rowBreaks count="2" manualBreakCount="2">
    <brk id="57" max="255" man="1"/>
    <brk id="10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207"/>
  <sheetViews>
    <sheetView zoomScalePageLayoutView="0" workbookViewId="0" topLeftCell="A1">
      <pane xSplit="1" ySplit="6" topLeftCell="B185" activePane="bottomRight" state="frozen"/>
      <selection pane="topLeft" activeCell="A169" sqref="A1:IV16384"/>
      <selection pane="topRight" activeCell="A169" sqref="A1:IV16384"/>
      <selection pane="bottomLeft" activeCell="A169" sqref="A1:IV16384"/>
      <selection pane="bottomRight" activeCell="A169" sqref="A1:IV16384"/>
    </sheetView>
  </sheetViews>
  <sheetFormatPr defaultColWidth="9.00390625" defaultRowHeight="12.75"/>
  <cols>
    <col min="1" max="1" width="4.375" style="124" customWidth="1"/>
    <col min="2" max="2" width="44.00390625" style="0" customWidth="1"/>
    <col min="3" max="4" width="12.875" style="0" customWidth="1"/>
    <col min="5" max="6" width="12.125" style="0" customWidth="1"/>
    <col min="7" max="8" width="12.00390625" style="382" customWidth="1"/>
    <col min="9" max="9" width="13.00390625" style="382" customWidth="1"/>
    <col min="10" max="10" width="15.00390625" style="611" customWidth="1"/>
    <col min="11" max="11" width="8.50390625" style="0" hidden="1" customWidth="1"/>
    <col min="12" max="15" width="9.125" style="0" hidden="1" customWidth="1"/>
    <col min="16" max="16" width="28.375" style="124" customWidth="1"/>
    <col min="17" max="17" width="9.50390625" style="0" customWidth="1"/>
    <col min="18" max="18" width="10.875" style="0" customWidth="1"/>
    <col min="19" max="19" width="9.125" style="500" customWidth="1"/>
  </cols>
  <sheetData>
    <row r="1" spans="2:15" ht="20.25">
      <c r="B1" s="872" t="s">
        <v>301</v>
      </c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</row>
    <row r="2" spans="2:18" ht="20.25">
      <c r="B2" s="873" t="s">
        <v>6</v>
      </c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R2" t="s">
        <v>173</v>
      </c>
    </row>
    <row r="3" spans="1:19" s="10" customFormat="1" ht="5.25" customHeight="1">
      <c r="A3" s="347"/>
      <c r="B3" s="8"/>
      <c r="C3" s="9"/>
      <c r="D3" s="9"/>
      <c r="E3" s="9"/>
      <c r="F3" s="9"/>
      <c r="G3" s="348"/>
      <c r="H3" s="348"/>
      <c r="I3" s="348"/>
      <c r="J3" s="597"/>
      <c r="K3" s="9"/>
      <c r="L3" s="36"/>
      <c r="M3" s="1"/>
      <c r="N3" s="1"/>
      <c r="O3" s="41"/>
      <c r="P3" s="347"/>
      <c r="S3" s="513"/>
    </row>
    <row r="4" spans="1:23" s="10" customFormat="1" ht="11.25" customHeight="1" thickBot="1">
      <c r="A4" s="347"/>
      <c r="B4" s="8"/>
      <c r="C4" s="9"/>
      <c r="D4" s="9"/>
      <c r="E4" s="9"/>
      <c r="F4" s="9"/>
      <c r="G4" s="348"/>
      <c r="H4" s="348"/>
      <c r="I4" s="348"/>
      <c r="J4" s="597"/>
      <c r="K4" s="9"/>
      <c r="L4" s="36"/>
      <c r="M4" s="1"/>
      <c r="N4" s="1"/>
      <c r="O4" s="41"/>
      <c r="P4" s="347"/>
      <c r="Q4" s="131"/>
      <c r="R4" s="131"/>
      <c r="S4" s="502"/>
      <c r="T4" s="29"/>
      <c r="U4" s="29"/>
      <c r="V4" s="29"/>
      <c r="W4" s="29"/>
    </row>
    <row r="5" spans="2:23" ht="15">
      <c r="B5" s="89" t="s">
        <v>7</v>
      </c>
      <c r="C5" s="93" t="s">
        <v>299</v>
      </c>
      <c r="D5" s="350" t="s">
        <v>137</v>
      </c>
      <c r="E5" s="93" t="s">
        <v>299</v>
      </c>
      <c r="F5" s="350" t="s">
        <v>137</v>
      </c>
      <c r="G5" s="93" t="s">
        <v>299</v>
      </c>
      <c r="H5" s="350" t="s">
        <v>338</v>
      </c>
      <c r="I5" s="350" t="s">
        <v>338</v>
      </c>
      <c r="J5" s="386" t="s">
        <v>165</v>
      </c>
      <c r="K5" s="181"/>
      <c r="L5" s="415"/>
      <c r="M5" s="416"/>
      <c r="N5" s="416"/>
      <c r="O5" s="417"/>
      <c r="P5" s="351" t="s">
        <v>136</v>
      </c>
      <c r="Q5" s="131"/>
      <c r="R5" s="25"/>
      <c r="S5" s="57"/>
      <c r="T5" s="29"/>
      <c r="U5" s="29"/>
      <c r="V5" s="29"/>
      <c r="W5" s="29"/>
    </row>
    <row r="6" spans="2:23" ht="15.75" thickBot="1">
      <c r="B6" s="369"/>
      <c r="C6" s="539">
        <v>2015</v>
      </c>
      <c r="D6" s="353">
        <v>2015</v>
      </c>
      <c r="E6" s="540">
        <v>2016</v>
      </c>
      <c r="F6" s="540">
        <v>2016</v>
      </c>
      <c r="G6" s="353">
        <v>2017</v>
      </c>
      <c r="H6" s="418" t="s">
        <v>339</v>
      </c>
      <c r="I6" s="418" t="s">
        <v>359</v>
      </c>
      <c r="J6" s="395" t="s">
        <v>300</v>
      </c>
      <c r="K6" s="182"/>
      <c r="L6" s="419"/>
      <c r="M6" s="420"/>
      <c r="N6" s="420"/>
      <c r="O6" s="421"/>
      <c r="P6" s="355"/>
      <c r="Q6" s="29"/>
      <c r="R6" s="29"/>
      <c r="S6" s="134"/>
      <c r="T6" s="29"/>
      <c r="U6" s="29"/>
      <c r="V6" s="29"/>
      <c r="W6" s="29"/>
    </row>
    <row r="7" spans="1:23" s="2" customFormat="1" ht="12.75" customHeight="1">
      <c r="A7" s="124"/>
      <c r="B7" s="532" t="s">
        <v>307</v>
      </c>
      <c r="C7" s="426">
        <v>1200000</v>
      </c>
      <c r="D7" s="411">
        <v>180273</v>
      </c>
      <c r="E7" s="410">
        <v>203000</v>
      </c>
      <c r="F7" s="410">
        <v>182957</v>
      </c>
      <c r="G7" s="411">
        <v>200000</v>
      </c>
      <c r="H7" s="411">
        <v>79385</v>
      </c>
      <c r="I7" s="411">
        <v>94379</v>
      </c>
      <c r="J7" s="601">
        <v>204000</v>
      </c>
      <c r="K7" s="4"/>
      <c r="L7" s="26"/>
      <c r="M7" s="65"/>
      <c r="N7" s="65"/>
      <c r="O7" s="69"/>
      <c r="P7" s="633">
        <v>0.05</v>
      </c>
      <c r="Q7" s="57"/>
      <c r="R7" s="57"/>
      <c r="S7" s="57"/>
      <c r="T7" s="70"/>
      <c r="U7" s="70"/>
      <c r="V7" s="70"/>
      <c r="W7" s="70"/>
    </row>
    <row r="8" spans="1:23" s="2" customFormat="1" ht="12.75" customHeight="1">
      <c r="A8" s="124"/>
      <c r="B8" s="533" t="s">
        <v>305</v>
      </c>
      <c r="C8" s="427"/>
      <c r="D8" s="398">
        <v>108606</v>
      </c>
      <c r="E8" s="397">
        <v>77000</v>
      </c>
      <c r="F8" s="397">
        <v>70712</v>
      </c>
      <c r="G8" s="398">
        <v>90000</v>
      </c>
      <c r="H8" s="398">
        <v>34564</v>
      </c>
      <c r="I8" s="398">
        <v>45710</v>
      </c>
      <c r="J8" s="630">
        <v>91800</v>
      </c>
      <c r="K8" s="4"/>
      <c r="L8" s="26"/>
      <c r="M8" s="65"/>
      <c r="N8" s="65"/>
      <c r="O8" s="69"/>
      <c r="P8" s="634">
        <v>0.05</v>
      </c>
      <c r="Q8" s="57"/>
      <c r="R8" s="57"/>
      <c r="S8" s="57"/>
      <c r="T8" s="70"/>
      <c r="U8" s="70"/>
      <c r="V8" s="70"/>
      <c r="W8" s="70"/>
    </row>
    <row r="9" spans="1:23" s="2" customFormat="1" ht="12.75" customHeight="1">
      <c r="A9" s="124"/>
      <c r="B9" s="533" t="s">
        <v>306</v>
      </c>
      <c r="C9" s="428"/>
      <c r="D9" s="423">
        <v>850526</v>
      </c>
      <c r="E9" s="422">
        <v>920000</v>
      </c>
      <c r="F9" s="422">
        <v>958122</v>
      </c>
      <c r="G9" s="423">
        <v>1000000</v>
      </c>
      <c r="H9" s="423">
        <v>631118</v>
      </c>
      <c r="I9" s="423">
        <v>638962</v>
      </c>
      <c r="J9" s="631">
        <v>1020000</v>
      </c>
      <c r="K9" s="4"/>
      <c r="L9" s="26"/>
      <c r="M9" s="65"/>
      <c r="N9" s="65"/>
      <c r="O9" s="69"/>
      <c r="P9" s="358">
        <v>0.1</v>
      </c>
      <c r="Q9" s="57"/>
      <c r="R9" s="57"/>
      <c r="S9" s="57"/>
      <c r="T9" s="70"/>
      <c r="U9" s="70"/>
      <c r="V9" s="70"/>
      <c r="W9" s="70"/>
    </row>
    <row r="10" spans="1:23" s="2" customFormat="1" ht="12.75" customHeight="1">
      <c r="A10" s="124"/>
      <c r="B10" s="534" t="s">
        <v>1</v>
      </c>
      <c r="C10" s="426">
        <v>50000</v>
      </c>
      <c r="D10" s="411">
        <v>7811</v>
      </c>
      <c r="E10" s="410">
        <f>C10</f>
        <v>50000</v>
      </c>
      <c r="F10" s="410">
        <v>12631</v>
      </c>
      <c r="G10" s="411">
        <v>50000</v>
      </c>
      <c r="H10" s="411">
        <v>25991</v>
      </c>
      <c r="I10" s="412">
        <v>25991</v>
      </c>
      <c r="J10" s="601">
        <v>50000</v>
      </c>
      <c r="K10" s="4"/>
      <c r="L10" s="26"/>
      <c r="M10" s="65"/>
      <c r="N10" s="65"/>
      <c r="O10" s="69"/>
      <c r="P10" s="357"/>
      <c r="Q10" s="57"/>
      <c r="R10" s="57"/>
      <c r="S10" s="57"/>
      <c r="T10" s="70"/>
      <c r="U10" s="70"/>
      <c r="V10" s="70"/>
      <c r="W10" s="70"/>
    </row>
    <row r="11" spans="1:23" s="2" customFormat="1" ht="12.75" customHeight="1">
      <c r="A11" s="124"/>
      <c r="B11" s="527" t="s">
        <v>8</v>
      </c>
      <c r="C11" s="427">
        <v>395000</v>
      </c>
      <c r="D11" s="398">
        <v>357616</v>
      </c>
      <c r="E11" s="397">
        <f>C11</f>
        <v>395000</v>
      </c>
      <c r="F11" s="397">
        <v>443970</v>
      </c>
      <c r="G11" s="398">
        <v>403000</v>
      </c>
      <c r="H11" s="398">
        <v>84691</v>
      </c>
      <c r="I11" s="399">
        <v>107724</v>
      </c>
      <c r="J11" s="602">
        <v>410000</v>
      </c>
      <c r="K11" s="4"/>
      <c r="L11" s="26"/>
      <c r="M11" s="65"/>
      <c r="N11" s="65"/>
      <c r="O11" s="69"/>
      <c r="P11" s="357"/>
      <c r="Q11" s="57"/>
      <c r="R11" s="57"/>
      <c r="S11" s="57"/>
      <c r="T11" s="70"/>
      <c r="U11" s="70"/>
      <c r="V11" s="70"/>
      <c r="W11" s="70"/>
    </row>
    <row r="12" spans="1:23" s="2" customFormat="1" ht="12.75" customHeight="1">
      <c r="A12" s="124"/>
      <c r="B12" s="527" t="s">
        <v>18</v>
      </c>
      <c r="C12" s="427">
        <v>3300000</v>
      </c>
      <c r="D12" s="398">
        <f>3456317-D22</f>
        <v>3419317</v>
      </c>
      <c r="E12" s="397">
        <v>3074132</v>
      </c>
      <c r="F12" s="397">
        <v>2755358</v>
      </c>
      <c r="G12" s="398">
        <v>1870000</v>
      </c>
      <c r="H12" s="398">
        <v>1242344</v>
      </c>
      <c r="I12" s="399">
        <v>1381095</v>
      </c>
      <c r="J12" s="602">
        <v>1907000</v>
      </c>
      <c r="K12" s="4"/>
      <c r="L12" s="26"/>
      <c r="M12" s="65"/>
      <c r="N12" s="65"/>
      <c r="O12" s="69"/>
      <c r="P12" s="357" t="s">
        <v>347</v>
      </c>
      <c r="Q12" s="57"/>
      <c r="R12" s="57"/>
      <c r="S12" s="57"/>
      <c r="T12" s="70"/>
      <c r="U12" s="70"/>
      <c r="V12" s="70"/>
      <c r="W12" s="70"/>
    </row>
    <row r="13" spans="1:23" s="2" customFormat="1" ht="12.75" customHeight="1">
      <c r="A13" s="124"/>
      <c r="B13" s="527" t="s">
        <v>9</v>
      </c>
      <c r="C13" s="427">
        <v>230000</v>
      </c>
      <c r="D13" s="398">
        <v>318</v>
      </c>
      <c r="E13" s="397">
        <f>C13</f>
        <v>230000</v>
      </c>
      <c r="F13" s="397">
        <v>383291</v>
      </c>
      <c r="G13" s="398">
        <v>1040000</v>
      </c>
      <c r="H13" s="398">
        <v>433287</v>
      </c>
      <c r="I13" s="399">
        <v>568683</v>
      </c>
      <c r="J13" s="602">
        <v>1190000</v>
      </c>
      <c r="K13" s="4"/>
      <c r="L13" s="26"/>
      <c r="M13" s="65"/>
      <c r="N13" s="65"/>
      <c r="O13" s="69"/>
      <c r="P13" s="357" t="s">
        <v>346</v>
      </c>
      <c r="Q13" s="57"/>
      <c r="R13" s="57"/>
      <c r="S13" s="57"/>
      <c r="T13" s="70"/>
      <c r="U13" s="70"/>
      <c r="V13" s="70"/>
      <c r="W13" s="70"/>
    </row>
    <row r="14" spans="1:23" s="2" customFormat="1" ht="12.75" customHeight="1">
      <c r="A14" s="124"/>
      <c r="B14" s="636" t="s">
        <v>345</v>
      </c>
      <c r="C14" s="635"/>
      <c r="D14" s="403"/>
      <c r="E14" s="402"/>
      <c r="F14" s="402"/>
      <c r="G14" s="403"/>
      <c r="H14" s="403"/>
      <c r="I14" s="637"/>
      <c r="J14" s="638"/>
      <c r="K14" s="4"/>
      <c r="L14" s="26"/>
      <c r="M14" s="65"/>
      <c r="N14" s="65"/>
      <c r="O14" s="69"/>
      <c r="P14" s="357"/>
      <c r="Q14" s="57"/>
      <c r="R14" s="57"/>
      <c r="S14" s="57"/>
      <c r="T14" s="70"/>
      <c r="U14" s="70"/>
      <c r="V14" s="70"/>
      <c r="W14" s="70"/>
    </row>
    <row r="15" spans="1:23" s="2" customFormat="1" ht="12.75" customHeight="1">
      <c r="A15" s="124"/>
      <c r="B15" s="545" t="s">
        <v>10</v>
      </c>
      <c r="C15" s="546">
        <v>3950254</v>
      </c>
      <c r="D15" s="547">
        <v>3339761</v>
      </c>
      <c r="E15" s="548">
        <v>4010430</v>
      </c>
      <c r="F15" s="548">
        <v>3952290</v>
      </c>
      <c r="G15" s="547">
        <v>4615045</v>
      </c>
      <c r="H15" s="547">
        <v>1683327</v>
      </c>
      <c r="I15" s="547">
        <v>2064587</v>
      </c>
      <c r="J15" s="632">
        <v>5025161</v>
      </c>
      <c r="K15" s="4"/>
      <c r="L15" s="26"/>
      <c r="M15" s="81"/>
      <c r="N15" s="81"/>
      <c r="O15" s="69"/>
      <c r="P15" s="357" t="s">
        <v>352</v>
      </c>
      <c r="Q15" s="124" t="s">
        <v>174</v>
      </c>
      <c r="R15" s="57"/>
      <c r="S15" s="514" t="s">
        <v>291</v>
      </c>
      <c r="T15" s="70"/>
      <c r="U15" s="70"/>
      <c r="V15" s="70"/>
      <c r="W15" s="70"/>
    </row>
    <row r="16" spans="1:23" s="2" customFormat="1" ht="12.75" customHeight="1">
      <c r="A16" s="124">
        <v>1601</v>
      </c>
      <c r="B16" s="518" t="s">
        <v>349</v>
      </c>
      <c r="C16" s="427">
        <v>950000</v>
      </c>
      <c r="D16" s="398">
        <v>1299917</v>
      </c>
      <c r="E16" s="404">
        <f>C16</f>
        <v>950000</v>
      </c>
      <c r="F16" s="404">
        <v>895685</v>
      </c>
      <c r="G16" s="398">
        <v>1004000</v>
      </c>
      <c r="H16" s="398">
        <v>51774</v>
      </c>
      <c r="I16" s="398">
        <v>53951</v>
      </c>
      <c r="J16" s="602">
        <v>1304500</v>
      </c>
      <c r="K16" s="4"/>
      <c r="L16" s="53"/>
      <c r="M16" s="65"/>
      <c r="N16" s="65"/>
      <c r="O16" s="69"/>
      <c r="P16" s="357" t="s">
        <v>231</v>
      </c>
      <c r="Q16" s="57">
        <f>J16</f>
        <v>1304500</v>
      </c>
      <c r="R16" s="348"/>
      <c r="S16" s="57">
        <f>52500+12000</f>
        <v>64500</v>
      </c>
      <c r="T16" s="70"/>
      <c r="U16" s="70"/>
      <c r="V16" s="70"/>
      <c r="W16" s="70"/>
    </row>
    <row r="17" spans="1:23" s="2" customFormat="1" ht="12.75" customHeight="1">
      <c r="A17" s="124"/>
      <c r="B17" s="535" t="s">
        <v>310</v>
      </c>
      <c r="C17" s="429"/>
      <c r="D17" s="406"/>
      <c r="E17" s="405">
        <v>130000</v>
      </c>
      <c r="F17" s="405">
        <v>130000</v>
      </c>
      <c r="G17" s="406"/>
      <c r="H17" s="406"/>
      <c r="I17" s="406"/>
      <c r="J17" s="602"/>
      <c r="K17" s="4"/>
      <c r="L17" s="53"/>
      <c r="M17" s="65"/>
      <c r="N17" s="65"/>
      <c r="O17" s="69"/>
      <c r="P17" s="357"/>
      <c r="Q17" s="57"/>
      <c r="R17" s="348"/>
      <c r="S17" s="57"/>
      <c r="T17" s="70"/>
      <c r="U17" s="70"/>
      <c r="V17" s="70"/>
      <c r="W17" s="70"/>
    </row>
    <row r="18" spans="1:23" s="2" customFormat="1" ht="12.75" customHeight="1">
      <c r="A18" s="124"/>
      <c r="B18" s="535" t="s">
        <v>309</v>
      </c>
      <c r="C18" s="429"/>
      <c r="D18" s="406"/>
      <c r="E18" s="405">
        <v>30000</v>
      </c>
      <c r="F18" s="405">
        <v>30000</v>
      </c>
      <c r="G18" s="406">
        <v>50000</v>
      </c>
      <c r="H18" s="406"/>
      <c r="I18" s="406"/>
      <c r="J18" s="602"/>
      <c r="K18" s="4"/>
      <c r="L18" s="53"/>
      <c r="M18" s="65"/>
      <c r="N18" s="65"/>
      <c r="O18" s="69"/>
      <c r="P18" s="357"/>
      <c r="Q18" s="57"/>
      <c r="R18" s="348"/>
      <c r="S18" s="57"/>
      <c r="T18" s="70"/>
      <c r="U18" s="70"/>
      <c r="V18" s="70"/>
      <c r="W18" s="70"/>
    </row>
    <row r="19" spans="1:23" s="2" customFormat="1" ht="12.75" customHeight="1">
      <c r="A19" s="124"/>
      <c r="B19" s="535" t="s">
        <v>337</v>
      </c>
      <c r="C19" s="429"/>
      <c r="D19" s="406"/>
      <c r="E19" s="405"/>
      <c r="F19" s="405"/>
      <c r="G19" s="406">
        <v>50000</v>
      </c>
      <c r="H19" s="406">
        <v>8815</v>
      </c>
      <c r="I19" s="406">
        <v>8815</v>
      </c>
      <c r="J19" s="602"/>
      <c r="K19" s="4"/>
      <c r="L19" s="53"/>
      <c r="M19" s="65"/>
      <c r="N19" s="65"/>
      <c r="O19" s="69"/>
      <c r="P19" s="357" t="s">
        <v>232</v>
      </c>
      <c r="Q19" s="57">
        <f>J19</f>
        <v>0</v>
      </c>
      <c r="R19" s="348"/>
      <c r="S19" s="57"/>
      <c r="T19" s="70"/>
      <c r="U19" s="70"/>
      <c r="V19" s="70"/>
      <c r="W19" s="70"/>
    </row>
    <row r="20" spans="1:23" s="2" customFormat="1" ht="12.75" customHeight="1">
      <c r="A20" s="124">
        <v>1902</v>
      </c>
      <c r="B20" s="518" t="s">
        <v>139</v>
      </c>
      <c r="C20" s="427">
        <v>100000</v>
      </c>
      <c r="D20" s="398">
        <v>2815</v>
      </c>
      <c r="E20" s="404">
        <f>C20</f>
        <v>100000</v>
      </c>
      <c r="F20" s="404">
        <v>36664</v>
      </c>
      <c r="G20" s="398">
        <v>50000</v>
      </c>
      <c r="H20" s="398">
        <v>21502</v>
      </c>
      <c r="I20" s="398">
        <v>23173</v>
      </c>
      <c r="J20" s="602">
        <v>50000</v>
      </c>
      <c r="K20" s="4"/>
      <c r="L20" s="53"/>
      <c r="M20" s="65"/>
      <c r="N20" s="65"/>
      <c r="O20" s="69"/>
      <c r="P20" s="357" t="s">
        <v>350</v>
      </c>
      <c r="Q20" s="57">
        <f>J20</f>
        <v>50000</v>
      </c>
      <c r="R20" s="348"/>
      <c r="S20" s="57"/>
      <c r="T20" s="70"/>
      <c r="U20" s="70"/>
      <c r="V20" s="70"/>
      <c r="W20" s="70"/>
    </row>
    <row r="21" spans="1:23" s="2" customFormat="1" ht="12.75" customHeight="1">
      <c r="A21" s="124">
        <v>1306</v>
      </c>
      <c r="B21" s="518" t="s">
        <v>69</v>
      </c>
      <c r="C21" s="430">
        <v>30000</v>
      </c>
      <c r="D21" s="398">
        <v>40346</v>
      </c>
      <c r="E21" s="404">
        <f>C21</f>
        <v>30000</v>
      </c>
      <c r="F21" s="404">
        <v>45600</v>
      </c>
      <c r="G21" s="398">
        <v>42000</v>
      </c>
      <c r="H21" s="398"/>
      <c r="I21" s="398"/>
      <c r="J21" s="602">
        <v>50000</v>
      </c>
      <c r="K21" s="4"/>
      <c r="L21" s="53"/>
      <c r="M21" s="65"/>
      <c r="N21" s="65"/>
      <c r="O21" s="69"/>
      <c r="P21" s="357" t="s">
        <v>233</v>
      </c>
      <c r="Q21" s="57">
        <f>J21</f>
        <v>50000</v>
      </c>
      <c r="R21" s="348"/>
      <c r="S21" s="57"/>
      <c r="T21" s="70"/>
      <c r="U21" s="70"/>
      <c r="V21" s="70"/>
      <c r="W21" s="70"/>
    </row>
    <row r="22" spans="1:23" s="2" customFormat="1" ht="12.75" customHeight="1">
      <c r="A22" s="124">
        <v>1317</v>
      </c>
      <c r="B22" s="518" t="s">
        <v>176</v>
      </c>
      <c r="C22" s="430"/>
      <c r="D22" s="398">
        <v>37000</v>
      </c>
      <c r="E22" s="404"/>
      <c r="F22" s="404"/>
      <c r="G22" s="398"/>
      <c r="H22" s="398"/>
      <c r="I22" s="398"/>
      <c r="J22" s="602"/>
      <c r="K22" s="4"/>
      <c r="L22" s="53"/>
      <c r="M22" s="65"/>
      <c r="N22" s="65"/>
      <c r="O22" s="69"/>
      <c r="P22" s="357"/>
      <c r="Q22" s="57"/>
      <c r="R22" s="348"/>
      <c r="S22" s="57"/>
      <c r="T22" s="70"/>
      <c r="U22" s="70"/>
      <c r="V22" s="70"/>
      <c r="W22" s="70"/>
    </row>
    <row r="23" spans="1:23" s="2" customFormat="1" ht="12.75" customHeight="1">
      <c r="A23" s="124">
        <v>1313</v>
      </c>
      <c r="B23" s="518" t="s">
        <v>24</v>
      </c>
      <c r="C23" s="430">
        <v>40000</v>
      </c>
      <c r="D23" s="398">
        <v>37752</v>
      </c>
      <c r="E23" s="404">
        <f>C23</f>
        <v>40000</v>
      </c>
      <c r="F23" s="404">
        <v>33632</v>
      </c>
      <c r="G23" s="398">
        <v>60000</v>
      </c>
      <c r="H23" s="398">
        <v>11920</v>
      </c>
      <c r="I23" s="398">
        <v>31920</v>
      </c>
      <c r="J23" s="602">
        <f>60000-30000</f>
        <v>30000</v>
      </c>
      <c r="K23" s="4"/>
      <c r="L23" s="53"/>
      <c r="M23" s="65"/>
      <c r="N23" s="65"/>
      <c r="O23" s="69"/>
      <c r="P23" s="357" t="s">
        <v>340</v>
      </c>
      <c r="Q23" s="57">
        <f aca="true" t="shared" si="0" ref="Q23:Q29">J23</f>
        <v>30000</v>
      </c>
      <c r="R23" s="348"/>
      <c r="S23" s="57"/>
      <c r="T23" s="70"/>
      <c r="U23" s="70"/>
      <c r="V23" s="70"/>
      <c r="W23" s="70"/>
    </row>
    <row r="24" spans="1:23" s="2" customFormat="1" ht="12.75" customHeight="1">
      <c r="A24" s="124">
        <v>1318</v>
      </c>
      <c r="B24" s="518" t="s">
        <v>25</v>
      </c>
      <c r="C24" s="430">
        <v>40000</v>
      </c>
      <c r="D24" s="398">
        <v>28894</v>
      </c>
      <c r="E24" s="404">
        <v>15265</v>
      </c>
      <c r="F24" s="404">
        <v>15801</v>
      </c>
      <c r="G24" s="398">
        <v>40000</v>
      </c>
      <c r="H24" s="398">
        <v>19699</v>
      </c>
      <c r="I24" s="398">
        <v>19699</v>
      </c>
      <c r="J24" s="602">
        <v>19000</v>
      </c>
      <c r="K24" s="4"/>
      <c r="L24" s="53"/>
      <c r="M24" s="65"/>
      <c r="N24" s="65"/>
      <c r="O24" s="69"/>
      <c r="P24" s="357" t="s">
        <v>236</v>
      </c>
      <c r="Q24" s="57">
        <f t="shared" si="0"/>
        <v>19000</v>
      </c>
      <c r="R24" s="348"/>
      <c r="S24" s="57">
        <v>9000</v>
      </c>
      <c r="T24" s="70"/>
      <c r="U24" s="70"/>
      <c r="V24" s="70"/>
      <c r="W24" s="70"/>
    </row>
    <row r="25" spans="1:23" s="2" customFormat="1" ht="12.75" customHeight="1">
      <c r="A25" s="124">
        <v>1311</v>
      </c>
      <c r="B25" s="518" t="s">
        <v>26</v>
      </c>
      <c r="C25" s="430">
        <v>120000</v>
      </c>
      <c r="D25" s="398">
        <v>135729</v>
      </c>
      <c r="E25" s="404">
        <v>127328</v>
      </c>
      <c r="F25" s="404">
        <v>117696</v>
      </c>
      <c r="G25" s="398">
        <v>130000</v>
      </c>
      <c r="H25" s="398"/>
      <c r="I25" s="398"/>
      <c r="J25" s="602">
        <v>130000</v>
      </c>
      <c r="K25" s="4"/>
      <c r="L25" s="53"/>
      <c r="M25" s="65"/>
      <c r="N25" s="65"/>
      <c r="O25" s="69"/>
      <c r="P25" s="357" t="s">
        <v>141</v>
      </c>
      <c r="Q25" s="57">
        <f t="shared" si="0"/>
        <v>130000</v>
      </c>
      <c r="R25" s="348"/>
      <c r="S25" s="57"/>
      <c r="T25" s="70"/>
      <c r="U25" s="70"/>
      <c r="V25" s="70"/>
      <c r="W25" s="70"/>
    </row>
    <row r="26" spans="1:23" s="2" customFormat="1" ht="12.75" customHeight="1">
      <c r="A26" s="124">
        <v>1500</v>
      </c>
      <c r="B26" s="518" t="s">
        <v>20</v>
      </c>
      <c r="C26" s="430">
        <v>402930</v>
      </c>
      <c r="D26" s="398">
        <v>452092</v>
      </c>
      <c r="E26" s="404">
        <v>510154</v>
      </c>
      <c r="F26" s="404">
        <v>628230</v>
      </c>
      <c r="G26" s="398"/>
      <c r="H26" s="398">
        <v>40635</v>
      </c>
      <c r="I26" s="398">
        <v>40635</v>
      </c>
      <c r="J26" s="602">
        <v>800000</v>
      </c>
      <c r="K26" s="4"/>
      <c r="L26" s="53"/>
      <c r="M26" s="65"/>
      <c r="N26" s="65"/>
      <c r="O26" s="69"/>
      <c r="P26" s="357"/>
      <c r="Q26" s="57">
        <f t="shared" si="0"/>
        <v>800000</v>
      </c>
      <c r="R26" s="348"/>
      <c r="S26" s="57"/>
      <c r="T26" s="70"/>
      <c r="U26" s="70"/>
      <c r="V26" s="70"/>
      <c r="W26" s="70"/>
    </row>
    <row r="27" spans="1:23" s="2" customFormat="1" ht="12.75" customHeight="1">
      <c r="A27" s="124">
        <v>1323</v>
      </c>
      <c r="B27" s="518" t="s">
        <v>40</v>
      </c>
      <c r="C27" s="430">
        <v>50000</v>
      </c>
      <c r="D27" s="398">
        <v>26825</v>
      </c>
      <c r="E27" s="404">
        <v>15397</v>
      </c>
      <c r="F27" s="404">
        <v>15397</v>
      </c>
      <c r="G27" s="398">
        <v>30000</v>
      </c>
      <c r="H27" s="398">
        <v>16672</v>
      </c>
      <c r="I27" s="398">
        <v>16762</v>
      </c>
      <c r="J27" s="602">
        <v>30000</v>
      </c>
      <c r="K27" s="4"/>
      <c r="L27" s="53"/>
      <c r="M27" s="65"/>
      <c r="N27" s="65"/>
      <c r="O27" s="69"/>
      <c r="P27" s="357" t="s">
        <v>238</v>
      </c>
      <c r="Q27" s="57">
        <f t="shared" si="0"/>
        <v>30000</v>
      </c>
      <c r="R27" s="348"/>
      <c r="S27" s="57">
        <v>12000</v>
      </c>
      <c r="T27" s="70"/>
      <c r="U27" s="70"/>
      <c r="V27" s="70"/>
      <c r="W27" s="70"/>
    </row>
    <row r="28" spans="1:23" s="2" customFormat="1" ht="12.75" customHeight="1">
      <c r="A28" s="124">
        <v>1324</v>
      </c>
      <c r="B28" s="518" t="s">
        <v>41</v>
      </c>
      <c r="C28" s="430">
        <v>30000</v>
      </c>
      <c r="D28" s="398">
        <v>64487</v>
      </c>
      <c r="E28" s="404">
        <f>C28</f>
        <v>30000</v>
      </c>
      <c r="F28" s="404">
        <v>42642</v>
      </c>
      <c r="G28" s="398">
        <v>60000</v>
      </c>
      <c r="H28" s="398">
        <v>29980</v>
      </c>
      <c r="I28" s="398">
        <v>29980</v>
      </c>
      <c r="J28" s="602">
        <v>70000</v>
      </c>
      <c r="K28" s="4"/>
      <c r="L28" s="53"/>
      <c r="M28" s="65"/>
      <c r="N28" s="65"/>
      <c r="O28" s="69"/>
      <c r="P28" s="357" t="s">
        <v>239</v>
      </c>
      <c r="Q28" s="57">
        <f t="shared" si="0"/>
        <v>70000</v>
      </c>
      <c r="R28" s="348"/>
      <c r="S28" s="57">
        <v>50000</v>
      </c>
      <c r="T28" s="70"/>
      <c r="U28" s="70"/>
      <c r="V28" s="70"/>
      <c r="W28" s="70"/>
    </row>
    <row r="29" spans="1:23" s="2" customFormat="1" ht="12.75" customHeight="1">
      <c r="A29" s="124">
        <v>1325</v>
      </c>
      <c r="B29" s="518" t="s">
        <v>177</v>
      </c>
      <c r="C29" s="430">
        <v>80000</v>
      </c>
      <c r="D29" s="398">
        <v>291326</v>
      </c>
      <c r="E29" s="404">
        <v>316888</v>
      </c>
      <c r="F29" s="404">
        <v>316888</v>
      </c>
      <c r="G29" s="398">
        <v>330000</v>
      </c>
      <c r="H29" s="398">
        <v>309354</v>
      </c>
      <c r="I29" s="398">
        <v>316554</v>
      </c>
      <c r="J29" s="602">
        <f>355000-40000-50000</f>
        <v>265000</v>
      </c>
      <c r="K29" s="4"/>
      <c r="L29" s="53"/>
      <c r="M29" s="65"/>
      <c r="N29" s="65"/>
      <c r="O29" s="69"/>
      <c r="P29" s="357" t="s">
        <v>240</v>
      </c>
      <c r="Q29" s="57">
        <f t="shared" si="0"/>
        <v>265000</v>
      </c>
      <c r="R29" s="348"/>
      <c r="S29" s="57">
        <v>75000</v>
      </c>
      <c r="T29" s="70"/>
      <c r="U29" s="70"/>
      <c r="V29" s="70"/>
      <c r="W29" s="70"/>
    </row>
    <row r="30" spans="1:23" s="2" customFormat="1" ht="12.75" customHeight="1">
      <c r="A30" s="124"/>
      <c r="B30" s="535" t="s">
        <v>178</v>
      </c>
      <c r="C30" s="576"/>
      <c r="D30" s="577"/>
      <c r="E30" s="577">
        <v>50000</v>
      </c>
      <c r="F30" s="577">
        <v>50000</v>
      </c>
      <c r="G30" s="577"/>
      <c r="H30" s="577"/>
      <c r="I30" s="406"/>
      <c r="J30" s="602"/>
      <c r="K30" s="4"/>
      <c r="L30" s="53"/>
      <c r="M30" s="65"/>
      <c r="N30" s="65"/>
      <c r="O30" s="69"/>
      <c r="P30" s="357"/>
      <c r="Q30" s="57"/>
      <c r="R30" s="348"/>
      <c r="S30" s="57"/>
      <c r="T30" s="70"/>
      <c r="U30" s="70"/>
      <c r="V30" s="70"/>
      <c r="W30" s="70"/>
    </row>
    <row r="31" spans="1:23" s="2" customFormat="1" ht="12.75" customHeight="1">
      <c r="A31" s="124">
        <v>1312</v>
      </c>
      <c r="B31" s="592" t="s">
        <v>179</v>
      </c>
      <c r="C31" s="576">
        <v>370000</v>
      </c>
      <c r="D31" s="577">
        <v>246390</v>
      </c>
      <c r="E31" s="593">
        <f>C31</f>
        <v>370000</v>
      </c>
      <c r="F31" s="593">
        <v>309048</v>
      </c>
      <c r="G31" s="577">
        <v>370000</v>
      </c>
      <c r="H31" s="577">
        <v>52</v>
      </c>
      <c r="I31" s="398">
        <v>2551</v>
      </c>
      <c r="J31" s="602">
        <v>270000</v>
      </c>
      <c r="K31" s="4"/>
      <c r="L31" s="53"/>
      <c r="M31" s="65"/>
      <c r="N31" s="65"/>
      <c r="O31" s="69"/>
      <c r="P31" s="357" t="s">
        <v>241</v>
      </c>
      <c r="Q31" s="57">
        <f aca="true" t="shared" si="1" ref="Q31:Q38">J31</f>
        <v>270000</v>
      </c>
      <c r="R31" s="348"/>
      <c r="S31" s="57"/>
      <c r="T31" s="70"/>
      <c r="U31" s="70"/>
      <c r="V31" s="70"/>
      <c r="W31" s="70"/>
    </row>
    <row r="32" spans="1:23" s="2" customFormat="1" ht="12.75" customHeight="1">
      <c r="A32" s="124"/>
      <c r="B32" s="644" t="s">
        <v>341</v>
      </c>
      <c r="C32" s="576"/>
      <c r="D32" s="577"/>
      <c r="E32" s="593"/>
      <c r="F32" s="593"/>
      <c r="G32" s="577"/>
      <c r="H32" s="577"/>
      <c r="I32" s="398"/>
      <c r="J32" s="602">
        <v>0</v>
      </c>
      <c r="K32" s="4"/>
      <c r="L32" s="53"/>
      <c r="M32" s="65"/>
      <c r="N32" s="65"/>
      <c r="O32" s="69"/>
      <c r="P32" s="357" t="s">
        <v>243</v>
      </c>
      <c r="Q32" s="57">
        <f t="shared" si="1"/>
        <v>0</v>
      </c>
      <c r="R32" s="348"/>
      <c r="S32" s="57" t="s">
        <v>356</v>
      </c>
      <c r="T32" s="70"/>
      <c r="U32" s="70"/>
      <c r="V32" s="70"/>
      <c r="W32" s="70"/>
    </row>
    <row r="33" spans="1:23" s="2" customFormat="1" ht="12.75" customHeight="1" hidden="1">
      <c r="A33" s="124"/>
      <c r="B33" s="592" t="s">
        <v>245</v>
      </c>
      <c r="C33" s="576"/>
      <c r="D33" s="577"/>
      <c r="E33" s="593"/>
      <c r="F33" s="593"/>
      <c r="G33" s="577"/>
      <c r="H33" s="577"/>
      <c r="I33" s="398"/>
      <c r="J33" s="602"/>
      <c r="K33" s="4"/>
      <c r="L33" s="53"/>
      <c r="M33" s="65"/>
      <c r="N33" s="65"/>
      <c r="O33" s="69"/>
      <c r="P33" s="357"/>
      <c r="Q33" s="57">
        <f t="shared" si="1"/>
        <v>0</v>
      </c>
      <c r="R33" s="348"/>
      <c r="S33" s="57"/>
      <c r="T33" s="70"/>
      <c r="U33" s="70"/>
      <c r="V33" s="70"/>
      <c r="W33" s="70"/>
    </row>
    <row r="34" spans="1:23" s="2" customFormat="1" ht="12.75" customHeight="1">
      <c r="A34" s="124">
        <v>1328</v>
      </c>
      <c r="B34" s="592" t="s">
        <v>44</v>
      </c>
      <c r="C34" s="576">
        <v>20000</v>
      </c>
      <c r="D34" s="577">
        <v>36664</v>
      </c>
      <c r="E34" s="593">
        <v>30050</v>
      </c>
      <c r="F34" s="593">
        <v>30050</v>
      </c>
      <c r="G34" s="577">
        <v>40000</v>
      </c>
      <c r="H34" s="577">
        <v>12</v>
      </c>
      <c r="I34" s="398">
        <v>7114</v>
      </c>
      <c r="J34" s="602">
        <v>38000</v>
      </c>
      <c r="K34" s="4"/>
      <c r="L34" s="53"/>
      <c r="M34" s="65"/>
      <c r="N34" s="65"/>
      <c r="O34" s="69"/>
      <c r="P34" s="357" t="s">
        <v>244</v>
      </c>
      <c r="Q34" s="57">
        <f t="shared" si="1"/>
        <v>38000</v>
      </c>
      <c r="R34" s="348"/>
      <c r="S34" s="57">
        <v>24000</v>
      </c>
      <c r="T34" s="70"/>
      <c r="U34" s="70"/>
      <c r="V34" s="70"/>
      <c r="W34" s="70"/>
    </row>
    <row r="35" spans="1:23" s="2" customFormat="1" ht="12.75" customHeight="1">
      <c r="A35" s="124">
        <v>1316</v>
      </c>
      <c r="B35" s="592" t="s">
        <v>220</v>
      </c>
      <c r="C35" s="576">
        <v>60000</v>
      </c>
      <c r="D35" s="577">
        <v>148949</v>
      </c>
      <c r="E35" s="593">
        <v>38895</v>
      </c>
      <c r="F35" s="593">
        <v>38895</v>
      </c>
      <c r="G35" s="577">
        <v>50000</v>
      </c>
      <c r="H35" s="577">
        <v>42335</v>
      </c>
      <c r="I35" s="398">
        <v>42335</v>
      </c>
      <c r="J35" s="602">
        <v>60000</v>
      </c>
      <c r="K35" s="4"/>
      <c r="L35" s="53"/>
      <c r="M35" s="65"/>
      <c r="N35" s="65"/>
      <c r="O35" s="69"/>
      <c r="P35" s="357" t="s">
        <v>246</v>
      </c>
      <c r="Q35" s="57">
        <f t="shared" si="1"/>
        <v>60000</v>
      </c>
      <c r="R35" s="348"/>
      <c r="S35" s="57">
        <v>30000</v>
      </c>
      <c r="T35" s="70"/>
      <c r="U35" s="70"/>
      <c r="V35" s="70"/>
      <c r="W35" s="70"/>
    </row>
    <row r="36" spans="1:23" s="2" customFormat="1" ht="12.75" customHeight="1">
      <c r="A36" s="124">
        <v>1208</v>
      </c>
      <c r="B36" s="592" t="s">
        <v>180</v>
      </c>
      <c r="C36" s="576">
        <v>50000</v>
      </c>
      <c r="D36" s="577">
        <v>145055</v>
      </c>
      <c r="E36" s="593">
        <f>C36</f>
        <v>50000</v>
      </c>
      <c r="F36" s="593">
        <v>184574</v>
      </c>
      <c r="G36" s="577">
        <v>123500</v>
      </c>
      <c r="H36" s="577">
        <v>112217</v>
      </c>
      <c r="I36" s="398">
        <v>112217</v>
      </c>
      <c r="J36" s="602">
        <v>155000</v>
      </c>
      <c r="K36" s="4"/>
      <c r="L36" s="53"/>
      <c r="M36" s="65"/>
      <c r="N36" s="65"/>
      <c r="O36" s="69"/>
      <c r="P36" s="357" t="s">
        <v>248</v>
      </c>
      <c r="Q36" s="57">
        <f t="shared" si="1"/>
        <v>155000</v>
      </c>
      <c r="R36" s="348"/>
      <c r="S36" s="57">
        <v>105000</v>
      </c>
      <c r="T36" s="70"/>
      <c r="U36" s="70"/>
      <c r="V36" s="70"/>
      <c r="W36" s="70"/>
    </row>
    <row r="37" spans="1:23" s="2" customFormat="1" ht="12.75" customHeight="1">
      <c r="A37" s="124">
        <v>1322</v>
      </c>
      <c r="B37" s="592" t="s">
        <v>221</v>
      </c>
      <c r="C37" s="576"/>
      <c r="D37" s="577"/>
      <c r="E37" s="593"/>
      <c r="F37" s="593"/>
      <c r="G37" s="577">
        <v>52000</v>
      </c>
      <c r="H37" s="577">
        <v>51462</v>
      </c>
      <c r="I37" s="398">
        <v>51462</v>
      </c>
      <c r="J37" s="602">
        <v>96000</v>
      </c>
      <c r="K37" s="4"/>
      <c r="L37" s="53"/>
      <c r="M37" s="65"/>
      <c r="N37" s="65"/>
      <c r="O37" s="69"/>
      <c r="P37" s="357" t="s">
        <v>249</v>
      </c>
      <c r="Q37" s="57">
        <f t="shared" si="1"/>
        <v>96000</v>
      </c>
      <c r="R37" s="348"/>
      <c r="S37" s="57">
        <v>66000</v>
      </c>
      <c r="T37" s="70"/>
      <c r="U37" s="70"/>
      <c r="V37" s="70"/>
      <c r="W37" s="70"/>
    </row>
    <row r="38" spans="1:23" s="2" customFormat="1" ht="12.75" customHeight="1">
      <c r="A38" s="124">
        <v>1321</v>
      </c>
      <c r="B38" s="592" t="s">
        <v>181</v>
      </c>
      <c r="C38" s="576">
        <v>15000</v>
      </c>
      <c r="D38" s="577">
        <v>15013</v>
      </c>
      <c r="E38" s="593">
        <f>C38</f>
        <v>15000</v>
      </c>
      <c r="F38" s="593">
        <v>15211</v>
      </c>
      <c r="G38" s="577">
        <v>15000</v>
      </c>
      <c r="H38" s="577">
        <v>0</v>
      </c>
      <c r="I38" s="398"/>
      <c r="J38" s="602">
        <v>15000</v>
      </c>
      <c r="K38" s="4"/>
      <c r="L38" s="53"/>
      <c r="M38" s="65"/>
      <c r="N38" s="65"/>
      <c r="O38" s="69"/>
      <c r="P38" s="357" t="s">
        <v>247</v>
      </c>
      <c r="Q38" s="57">
        <f t="shared" si="1"/>
        <v>15000</v>
      </c>
      <c r="R38" s="348"/>
      <c r="S38" s="57"/>
      <c r="T38" s="70"/>
      <c r="U38" s="70"/>
      <c r="V38" s="70"/>
      <c r="W38" s="70"/>
    </row>
    <row r="39" spans="1:23" s="2" customFormat="1" ht="12.75" customHeight="1">
      <c r="A39" s="124">
        <v>1304</v>
      </c>
      <c r="B39" s="592" t="s">
        <v>45</v>
      </c>
      <c r="C39" s="576">
        <v>20000</v>
      </c>
      <c r="D39" s="577">
        <v>9000</v>
      </c>
      <c r="E39" s="593">
        <f>C39</f>
        <v>20000</v>
      </c>
      <c r="F39" s="593">
        <v>20602</v>
      </c>
      <c r="G39" s="577"/>
      <c r="H39" s="577">
        <v>0</v>
      </c>
      <c r="I39" s="398"/>
      <c r="J39" s="602"/>
      <c r="K39" s="4"/>
      <c r="L39" s="53"/>
      <c r="M39" s="65"/>
      <c r="N39" s="65"/>
      <c r="O39" s="69"/>
      <c r="P39" s="357"/>
      <c r="Q39" s="57"/>
      <c r="R39" s="348"/>
      <c r="S39" s="57"/>
      <c r="T39" s="70"/>
      <c r="U39" s="70"/>
      <c r="V39" s="70"/>
      <c r="W39" s="70"/>
    </row>
    <row r="40" spans="1:23" s="2" customFormat="1" ht="12.75" customHeight="1">
      <c r="A40" s="124">
        <v>1320</v>
      </c>
      <c r="B40" s="592" t="s">
        <v>182</v>
      </c>
      <c r="C40" s="576">
        <v>50000</v>
      </c>
      <c r="D40" s="577">
        <v>5500</v>
      </c>
      <c r="E40" s="593">
        <v>54436</v>
      </c>
      <c r="F40" s="593">
        <v>54436</v>
      </c>
      <c r="G40" s="577">
        <v>80000</v>
      </c>
      <c r="H40" s="577">
        <v>1295</v>
      </c>
      <c r="I40" s="398">
        <v>9535</v>
      </c>
      <c r="J40" s="602">
        <f>80000-10000</f>
        <v>70000</v>
      </c>
      <c r="K40" s="4"/>
      <c r="L40" s="53"/>
      <c r="M40" s="65"/>
      <c r="N40" s="65"/>
      <c r="O40" s="69"/>
      <c r="P40" s="357" t="s">
        <v>250</v>
      </c>
      <c r="Q40" s="57">
        <f>J40</f>
        <v>70000</v>
      </c>
      <c r="R40" s="348"/>
      <c r="S40" s="57">
        <v>30000</v>
      </c>
      <c r="T40" s="70"/>
      <c r="U40" s="70"/>
      <c r="V40" s="70"/>
      <c r="W40" s="70"/>
    </row>
    <row r="41" spans="1:23" s="2" customFormat="1" ht="12.75" customHeight="1">
      <c r="A41" s="124"/>
      <c r="B41" s="592" t="s">
        <v>183</v>
      </c>
      <c r="C41" s="576"/>
      <c r="D41" s="577"/>
      <c r="E41" s="593">
        <v>10000</v>
      </c>
      <c r="F41" s="593">
        <v>10000</v>
      </c>
      <c r="G41" s="577"/>
      <c r="H41" s="577"/>
      <c r="I41" s="406"/>
      <c r="J41" s="602"/>
      <c r="K41" s="4"/>
      <c r="L41" s="53"/>
      <c r="M41" s="65"/>
      <c r="N41" s="65"/>
      <c r="O41" s="69"/>
      <c r="P41" s="357"/>
      <c r="Q41" s="57"/>
      <c r="R41" s="348"/>
      <c r="S41" s="57"/>
      <c r="T41" s="70"/>
      <c r="U41" s="70"/>
      <c r="V41" s="70"/>
      <c r="W41" s="70"/>
    </row>
    <row r="42" spans="1:23" s="2" customFormat="1" ht="12.75" customHeight="1">
      <c r="A42" s="124">
        <v>1305</v>
      </c>
      <c r="B42" s="592" t="s">
        <v>343</v>
      </c>
      <c r="C42" s="576">
        <v>20000</v>
      </c>
      <c r="D42" s="577">
        <v>19921</v>
      </c>
      <c r="E42" s="593">
        <f>C42</f>
        <v>20000</v>
      </c>
      <c r="F42" s="593">
        <v>12524</v>
      </c>
      <c r="G42" s="577">
        <v>20000</v>
      </c>
      <c r="H42" s="577">
        <v>7744</v>
      </c>
      <c r="I42" s="398">
        <v>8349</v>
      </c>
      <c r="J42" s="602">
        <v>10000</v>
      </c>
      <c r="K42" s="4"/>
      <c r="L42" s="53"/>
      <c r="M42" s="65"/>
      <c r="N42" s="65"/>
      <c r="O42" s="69"/>
      <c r="P42" s="357" t="s">
        <v>146</v>
      </c>
      <c r="Q42" s="57">
        <f>J42</f>
        <v>10000</v>
      </c>
      <c r="R42" s="348"/>
      <c r="S42" s="57"/>
      <c r="T42" s="70"/>
      <c r="U42" s="70"/>
      <c r="V42" s="70"/>
      <c r="W42" s="70"/>
    </row>
    <row r="43" spans="1:23" s="2" customFormat="1" ht="12.75" customHeight="1">
      <c r="A43" s="124">
        <v>1905</v>
      </c>
      <c r="B43" s="592" t="s">
        <v>186</v>
      </c>
      <c r="C43" s="576"/>
      <c r="D43" s="577"/>
      <c r="E43" s="593">
        <v>40000</v>
      </c>
      <c r="F43" s="593">
        <v>85118</v>
      </c>
      <c r="G43" s="577">
        <v>90000</v>
      </c>
      <c r="H43" s="577">
        <v>70</v>
      </c>
      <c r="I43" s="406">
        <v>6074</v>
      </c>
      <c r="J43" s="602">
        <v>80000</v>
      </c>
      <c r="K43" s="4"/>
      <c r="L43" s="53"/>
      <c r="M43" s="65"/>
      <c r="N43" s="65"/>
      <c r="O43" s="69"/>
      <c r="P43" s="357" t="s">
        <v>255</v>
      </c>
      <c r="Q43" s="57">
        <f>J43</f>
        <v>80000</v>
      </c>
      <c r="R43" s="348"/>
      <c r="S43" s="57"/>
      <c r="T43" s="70"/>
      <c r="U43" s="70"/>
      <c r="V43" s="70"/>
      <c r="W43" s="70"/>
    </row>
    <row r="44" spans="1:23" s="2" customFormat="1" ht="12.75" customHeight="1">
      <c r="A44" s="124"/>
      <c r="B44" s="592" t="s">
        <v>308</v>
      </c>
      <c r="C44" s="576"/>
      <c r="D44" s="577"/>
      <c r="E44" s="593">
        <v>15000</v>
      </c>
      <c r="F44" s="593">
        <v>15000</v>
      </c>
      <c r="G44" s="577"/>
      <c r="H44" s="577"/>
      <c r="I44" s="406"/>
      <c r="J44" s="602"/>
      <c r="K44" s="4"/>
      <c r="L44" s="53"/>
      <c r="M44" s="65"/>
      <c r="N44" s="65"/>
      <c r="O44" s="69"/>
      <c r="P44" s="357"/>
      <c r="Q44" s="57"/>
      <c r="R44" s="348"/>
      <c r="S44" s="57"/>
      <c r="T44" s="70"/>
      <c r="U44" s="70"/>
      <c r="V44" s="70"/>
      <c r="W44" s="70"/>
    </row>
    <row r="45" spans="1:23" s="2" customFormat="1" ht="12.75" customHeight="1">
      <c r="A45" s="124">
        <v>1308</v>
      </c>
      <c r="B45" s="592" t="s">
        <v>317</v>
      </c>
      <c r="C45" s="576"/>
      <c r="D45" s="577"/>
      <c r="E45" s="593"/>
      <c r="F45" s="593">
        <v>86701</v>
      </c>
      <c r="G45" s="577">
        <v>210000</v>
      </c>
      <c r="H45" s="577">
        <v>1984</v>
      </c>
      <c r="I45" s="406">
        <v>194070</v>
      </c>
      <c r="J45" s="602">
        <v>106000</v>
      </c>
      <c r="K45" s="4"/>
      <c r="L45" s="53"/>
      <c r="M45" s="65"/>
      <c r="N45" s="65"/>
      <c r="O45" s="69"/>
      <c r="P45" s="357" t="s">
        <v>251</v>
      </c>
      <c r="Q45" s="57">
        <f aca="true" t="shared" si="2" ref="Q45:Q50">J45</f>
        <v>106000</v>
      </c>
      <c r="R45" s="348"/>
      <c r="S45" s="57">
        <v>6000</v>
      </c>
      <c r="T45" s="70"/>
      <c r="U45" s="70"/>
      <c r="V45" s="70"/>
      <c r="W45" s="70"/>
    </row>
    <row r="46" spans="1:23" s="2" customFormat="1" ht="12.75" customHeight="1">
      <c r="A46" s="124">
        <v>1331</v>
      </c>
      <c r="B46" s="592" t="s">
        <v>254</v>
      </c>
      <c r="C46" s="576"/>
      <c r="D46" s="577"/>
      <c r="E46" s="593"/>
      <c r="F46" s="593"/>
      <c r="G46" s="577">
        <v>90000</v>
      </c>
      <c r="H46" s="577"/>
      <c r="I46" s="406">
        <v>1305</v>
      </c>
      <c r="J46" s="602"/>
      <c r="K46" s="4"/>
      <c r="L46" s="53"/>
      <c r="M46" s="65"/>
      <c r="N46" s="65"/>
      <c r="O46" s="69"/>
      <c r="P46" s="357"/>
      <c r="Q46" s="57">
        <f t="shared" si="2"/>
        <v>0</v>
      </c>
      <c r="R46" s="348"/>
      <c r="S46" s="57"/>
      <c r="T46" s="70"/>
      <c r="U46" s="70"/>
      <c r="V46" s="70"/>
      <c r="W46" s="70"/>
    </row>
    <row r="47" spans="1:23" s="2" customFormat="1" ht="12.75" customHeight="1">
      <c r="A47" s="124"/>
      <c r="B47" s="644" t="s">
        <v>342</v>
      </c>
      <c r="C47" s="576"/>
      <c r="D47" s="577"/>
      <c r="E47" s="593"/>
      <c r="F47" s="593"/>
      <c r="G47" s="577"/>
      <c r="H47" s="577"/>
      <c r="I47" s="406"/>
      <c r="J47" s="602">
        <v>20000</v>
      </c>
      <c r="K47" s="4"/>
      <c r="L47" s="53"/>
      <c r="M47" s="65"/>
      <c r="N47" s="65"/>
      <c r="O47" s="69"/>
      <c r="P47" s="357" t="s">
        <v>252</v>
      </c>
      <c r="Q47" s="57">
        <f t="shared" si="2"/>
        <v>20000</v>
      </c>
      <c r="R47" s="348"/>
      <c r="S47" s="57"/>
      <c r="T47" s="70"/>
      <c r="U47" s="70"/>
      <c r="V47" s="70"/>
      <c r="W47" s="70"/>
    </row>
    <row r="48" spans="1:23" s="2" customFormat="1" ht="12.75" customHeight="1">
      <c r="A48" s="124"/>
      <c r="B48" s="644" t="s">
        <v>344</v>
      </c>
      <c r="C48" s="576"/>
      <c r="D48" s="577"/>
      <c r="E48" s="593"/>
      <c r="F48" s="593"/>
      <c r="G48" s="577"/>
      <c r="H48" s="577"/>
      <c r="I48" s="406"/>
      <c r="J48" s="602">
        <v>10000</v>
      </c>
      <c r="K48" s="4"/>
      <c r="L48" s="53"/>
      <c r="M48" s="65"/>
      <c r="N48" s="65"/>
      <c r="O48" s="69"/>
      <c r="P48" s="357" t="s">
        <v>258</v>
      </c>
      <c r="Q48" s="57">
        <f t="shared" si="2"/>
        <v>10000</v>
      </c>
      <c r="R48" s="348"/>
      <c r="S48" s="57"/>
      <c r="T48" s="70"/>
      <c r="U48" s="70"/>
      <c r="V48" s="70"/>
      <c r="W48" s="70"/>
    </row>
    <row r="49" spans="1:23" s="2" customFormat="1" ht="12.75" customHeight="1" hidden="1">
      <c r="A49" s="124"/>
      <c r="B49" s="592" t="s">
        <v>225</v>
      </c>
      <c r="C49" s="576"/>
      <c r="D49" s="577"/>
      <c r="E49" s="593"/>
      <c r="F49" s="593"/>
      <c r="G49" s="577"/>
      <c r="H49" s="577"/>
      <c r="I49" s="398"/>
      <c r="J49" s="602"/>
      <c r="K49" s="4"/>
      <c r="L49" s="53"/>
      <c r="M49" s="65"/>
      <c r="N49" s="65"/>
      <c r="O49" s="69"/>
      <c r="P49" s="357"/>
      <c r="Q49" s="57">
        <f t="shared" si="2"/>
        <v>0</v>
      </c>
      <c r="R49" s="57"/>
      <c r="S49" s="57"/>
      <c r="T49" s="70"/>
      <c r="U49" s="70"/>
      <c r="V49" s="70"/>
      <c r="W49" s="70"/>
    </row>
    <row r="50" spans="1:23" s="2" customFormat="1" ht="12.75" customHeight="1" hidden="1">
      <c r="A50" s="124"/>
      <c r="B50" s="592" t="s">
        <v>226</v>
      </c>
      <c r="C50" s="576"/>
      <c r="D50" s="577"/>
      <c r="E50" s="593"/>
      <c r="F50" s="593"/>
      <c r="G50" s="577"/>
      <c r="H50" s="577"/>
      <c r="I50" s="398"/>
      <c r="J50" s="602"/>
      <c r="K50" s="4"/>
      <c r="L50" s="53"/>
      <c r="M50" s="65"/>
      <c r="N50" s="65"/>
      <c r="O50" s="69"/>
      <c r="P50" s="357"/>
      <c r="Q50" s="57">
        <f t="shared" si="2"/>
        <v>0</v>
      </c>
      <c r="R50" s="57"/>
      <c r="S50" s="57"/>
      <c r="T50" s="70"/>
      <c r="U50" s="70"/>
      <c r="V50" s="70"/>
      <c r="W50" s="70"/>
    </row>
    <row r="51" spans="1:23" s="2" customFormat="1" ht="12.75" customHeight="1">
      <c r="A51" s="124"/>
      <c r="B51" s="592" t="s">
        <v>184</v>
      </c>
      <c r="C51" s="576"/>
      <c r="D51" s="577">
        <v>57000</v>
      </c>
      <c r="E51" s="593"/>
      <c r="F51" s="593"/>
      <c r="G51" s="577"/>
      <c r="H51" s="577"/>
      <c r="I51" s="398"/>
      <c r="J51" s="602">
        <v>0</v>
      </c>
      <c r="K51" s="4"/>
      <c r="L51" s="53"/>
      <c r="M51" s="65"/>
      <c r="N51" s="65"/>
      <c r="O51" s="69"/>
      <c r="P51" s="357"/>
      <c r="Q51" s="57"/>
      <c r="R51" s="57"/>
      <c r="S51" s="57"/>
      <c r="T51" s="70"/>
      <c r="U51" s="70"/>
      <c r="V51" s="70"/>
      <c r="W51" s="70"/>
    </row>
    <row r="52" spans="1:23" s="2" customFormat="1" ht="12.75" customHeight="1">
      <c r="A52" s="124"/>
      <c r="B52" s="518" t="s">
        <v>185</v>
      </c>
      <c r="C52" s="430"/>
      <c r="D52" s="398">
        <v>393700</v>
      </c>
      <c r="E52" s="404"/>
      <c r="F52" s="397">
        <v>130800</v>
      </c>
      <c r="G52" s="398"/>
      <c r="H52" s="398"/>
      <c r="I52" s="398"/>
      <c r="J52" s="602"/>
      <c r="K52" s="4"/>
      <c r="L52" s="53"/>
      <c r="M52" s="65"/>
      <c r="N52" s="65"/>
      <c r="O52" s="69"/>
      <c r="P52" s="357"/>
      <c r="Q52" s="57"/>
      <c r="R52" s="57"/>
      <c r="S52" s="57"/>
      <c r="T52" s="70"/>
      <c r="U52" s="70"/>
      <c r="V52" s="70"/>
      <c r="W52" s="70"/>
    </row>
    <row r="53" spans="1:23" s="2" customFormat="1" ht="12.75" customHeight="1">
      <c r="A53" s="124"/>
      <c r="B53" s="518" t="s">
        <v>318</v>
      </c>
      <c r="C53" s="430">
        <v>30262</v>
      </c>
      <c r="D53" s="398"/>
      <c r="E53" s="404">
        <f>C53</f>
        <v>30262</v>
      </c>
      <c r="F53" s="404">
        <v>13469</v>
      </c>
      <c r="G53" s="398">
        <v>37644</v>
      </c>
      <c r="H53" s="398"/>
      <c r="I53" s="406"/>
      <c r="J53" s="602"/>
      <c r="K53" s="4"/>
      <c r="L53" s="53"/>
      <c r="M53" s="65"/>
      <c r="N53" s="65"/>
      <c r="O53" s="69"/>
      <c r="P53" s="357"/>
      <c r="Q53" s="57"/>
      <c r="R53" s="57"/>
      <c r="S53" s="57"/>
      <c r="T53" s="70"/>
      <c r="U53" s="70"/>
      <c r="V53" s="70"/>
      <c r="W53" s="70"/>
    </row>
    <row r="54" spans="1:23" s="2" customFormat="1" ht="12.75" customHeight="1">
      <c r="A54" s="124"/>
      <c r="B54" s="518" t="s">
        <v>189</v>
      </c>
      <c r="C54" s="431">
        <v>162594</v>
      </c>
      <c r="D54" s="398"/>
      <c r="E54" s="404">
        <f>C54</f>
        <v>162594</v>
      </c>
      <c r="F54" s="404">
        <v>158546</v>
      </c>
      <c r="G54" s="398">
        <v>677600</v>
      </c>
      <c r="H54" s="398"/>
      <c r="I54" s="406"/>
      <c r="J54" s="602"/>
      <c r="K54" s="4"/>
      <c r="L54" s="53"/>
      <c r="M54" s="65"/>
      <c r="N54" s="65"/>
      <c r="O54" s="69"/>
      <c r="P54" s="357"/>
      <c r="Q54" s="57"/>
      <c r="R54" s="57"/>
      <c r="S54" s="57"/>
      <c r="T54" s="70"/>
      <c r="U54" s="70"/>
      <c r="V54" s="70"/>
      <c r="W54" s="70"/>
    </row>
    <row r="55" spans="1:23" s="2" customFormat="1" ht="12.75" customHeight="1" thickBot="1">
      <c r="A55" s="124"/>
      <c r="B55" s="536" t="s">
        <v>157</v>
      </c>
      <c r="C55" s="432">
        <v>727935</v>
      </c>
      <c r="D55" s="408">
        <v>710944</v>
      </c>
      <c r="E55" s="407">
        <f>C55</f>
        <v>727935</v>
      </c>
      <c r="F55" s="407">
        <v>680479</v>
      </c>
      <c r="G55" s="408">
        <v>749468</v>
      </c>
      <c r="H55" s="408">
        <v>293555</v>
      </c>
      <c r="I55" s="408">
        <v>342069</v>
      </c>
      <c r="J55" s="603">
        <f>830651-J119-46000</f>
        <v>759885</v>
      </c>
      <c r="K55" s="4"/>
      <c r="L55" s="26"/>
      <c r="M55" s="81"/>
      <c r="N55" s="81"/>
      <c r="O55" s="69"/>
      <c r="P55" s="359" t="s">
        <v>293</v>
      </c>
      <c r="Q55" s="57"/>
      <c r="R55" s="57"/>
      <c r="S55" s="57"/>
      <c r="T55" s="70"/>
      <c r="U55" s="70"/>
      <c r="V55" s="70"/>
      <c r="W55" s="70"/>
    </row>
    <row r="56" spans="1:19" s="11" customFormat="1" ht="14.25" thickBot="1">
      <c r="A56" s="124"/>
      <c r="B56" s="434" t="s">
        <v>2</v>
      </c>
      <c r="C56" s="433">
        <f aca="true" t="shared" si="3" ref="C56:J56">SUM(C7:C55)</f>
        <v>12493975</v>
      </c>
      <c r="D56" s="360">
        <f t="shared" si="3"/>
        <v>12469547</v>
      </c>
      <c r="E56" s="44">
        <f t="shared" si="3"/>
        <v>12888766</v>
      </c>
      <c r="F56" s="44">
        <f t="shared" si="3"/>
        <v>12963019</v>
      </c>
      <c r="G56" s="360">
        <f t="shared" si="3"/>
        <v>13719257</v>
      </c>
      <c r="H56" s="360">
        <f t="shared" si="3"/>
        <v>5235784</v>
      </c>
      <c r="I56" s="360">
        <f t="shared" si="3"/>
        <v>6245701</v>
      </c>
      <c r="J56" s="425">
        <f t="shared" si="3"/>
        <v>14336346</v>
      </c>
      <c r="K56" s="5"/>
      <c r="L56" s="56"/>
      <c r="M56" s="82"/>
      <c r="N56" s="82"/>
      <c r="O56" s="83"/>
      <c r="P56" s="124"/>
      <c r="Q56" s="512">
        <f>SUM(Q12:Q55)</f>
        <v>3678500</v>
      </c>
      <c r="R56" s="7"/>
      <c r="S56" s="512">
        <f>SUM(S12:S55)</f>
        <v>471500</v>
      </c>
    </row>
    <row r="57" spans="1:22" ht="15.75" thickBot="1">
      <c r="A57" s="347"/>
      <c r="B57" s="361"/>
      <c r="C57" s="13"/>
      <c r="D57" s="362"/>
      <c r="E57" s="22"/>
      <c r="F57" s="22"/>
      <c r="G57" s="362"/>
      <c r="H57" s="362"/>
      <c r="I57" s="362"/>
      <c r="J57" s="604"/>
      <c r="K57" s="4"/>
      <c r="L57" s="64"/>
      <c r="M57" s="65"/>
      <c r="N57" s="65"/>
      <c r="O57" s="33"/>
      <c r="Q57" s="7"/>
      <c r="R57" s="7"/>
      <c r="S57" s="7"/>
      <c r="T57" s="10"/>
      <c r="U57" s="10"/>
      <c r="V57" s="10"/>
    </row>
    <row r="58" spans="2:22" ht="15.75" thickBot="1">
      <c r="B58" s="363" t="s">
        <v>3</v>
      </c>
      <c r="C58" s="14"/>
      <c r="D58" s="362"/>
      <c r="E58" s="22"/>
      <c r="F58" s="22"/>
      <c r="G58" s="362"/>
      <c r="H58" s="362"/>
      <c r="I58" s="362"/>
      <c r="J58" s="604"/>
      <c r="K58" s="14"/>
      <c r="L58" s="64"/>
      <c r="M58" s="65"/>
      <c r="N58" s="65"/>
      <c r="O58" s="33"/>
      <c r="Q58" s="7"/>
      <c r="R58" s="7"/>
      <c r="S58" s="7"/>
      <c r="T58" s="10"/>
      <c r="U58" s="5"/>
      <c r="V58" s="10"/>
    </row>
    <row r="59" spans="1:22" s="2" customFormat="1" ht="12.75" customHeight="1">
      <c r="A59" s="124"/>
      <c r="B59" s="525" t="s">
        <v>11</v>
      </c>
      <c r="C59" s="444">
        <v>2500000</v>
      </c>
      <c r="D59" s="437">
        <v>2882256</v>
      </c>
      <c r="E59" s="436">
        <f>C59</f>
        <v>2500000</v>
      </c>
      <c r="F59" s="436">
        <v>2548002</v>
      </c>
      <c r="G59" s="437">
        <v>2680000</v>
      </c>
      <c r="H59" s="437">
        <v>1524300</v>
      </c>
      <c r="I59" s="437"/>
      <c r="J59" s="605">
        <v>2948000</v>
      </c>
      <c r="K59" s="26"/>
      <c r="L59" s="30"/>
      <c r="M59" s="65"/>
      <c r="N59" s="65"/>
      <c r="O59" s="69"/>
      <c r="P59" s="356"/>
      <c r="Q59" s="57"/>
      <c r="R59" s="16"/>
      <c r="S59" s="57"/>
      <c r="T59" s="69"/>
      <c r="U59" s="69"/>
      <c r="V59" s="69"/>
    </row>
    <row r="60" spans="1:22" s="2" customFormat="1" ht="12.75" customHeight="1" hidden="1">
      <c r="A60" s="124"/>
      <c r="B60" s="526" t="s">
        <v>227</v>
      </c>
      <c r="C60" s="426"/>
      <c r="D60" s="411"/>
      <c r="E60" s="496"/>
      <c r="F60" s="496"/>
      <c r="G60" s="411"/>
      <c r="H60" s="411"/>
      <c r="I60" s="411"/>
      <c r="J60" s="601"/>
      <c r="K60" s="26"/>
      <c r="L60" s="30"/>
      <c r="M60" s="65"/>
      <c r="N60" s="65"/>
      <c r="O60" s="69"/>
      <c r="P60" s="414"/>
      <c r="Q60" s="57"/>
      <c r="R60" s="16"/>
      <c r="S60" s="57"/>
      <c r="T60" s="69"/>
      <c r="U60" s="69"/>
      <c r="V60" s="69"/>
    </row>
    <row r="61" spans="1:22" s="2" customFormat="1" ht="12.75" customHeight="1">
      <c r="A61" s="124"/>
      <c r="B61" s="527" t="s">
        <v>190</v>
      </c>
      <c r="C61" s="427">
        <v>162594</v>
      </c>
      <c r="D61" s="398"/>
      <c r="E61" s="439">
        <f>C61</f>
        <v>162594</v>
      </c>
      <c r="F61" s="439">
        <v>158546</v>
      </c>
      <c r="G61" s="398">
        <v>677600</v>
      </c>
      <c r="H61" s="398"/>
      <c r="I61" s="406"/>
      <c r="J61" s="602">
        <v>0</v>
      </c>
      <c r="K61" s="26"/>
      <c r="L61" s="30"/>
      <c r="M61" s="65"/>
      <c r="N61" s="65"/>
      <c r="O61" s="69"/>
      <c r="P61" s="357"/>
      <c r="Q61" s="57"/>
      <c r="R61" s="16"/>
      <c r="S61" s="57"/>
      <c r="T61" s="69"/>
      <c r="U61" s="69"/>
      <c r="V61" s="69"/>
    </row>
    <row r="62" spans="1:22" s="2" customFormat="1" ht="12.75" customHeight="1">
      <c r="A62" s="124"/>
      <c r="B62" s="527" t="s">
        <v>192</v>
      </c>
      <c r="C62" s="430">
        <v>30262</v>
      </c>
      <c r="D62" s="398"/>
      <c r="E62" s="439">
        <f>C62</f>
        <v>30262</v>
      </c>
      <c r="F62" s="439">
        <v>0</v>
      </c>
      <c r="G62" s="398">
        <v>37644</v>
      </c>
      <c r="H62" s="398"/>
      <c r="I62" s="406"/>
      <c r="J62" s="602">
        <v>0</v>
      </c>
      <c r="K62" s="53"/>
      <c r="L62" s="30"/>
      <c r="M62" s="65"/>
      <c r="N62" s="65"/>
      <c r="O62" s="69"/>
      <c r="P62" s="357"/>
      <c r="Q62" s="57"/>
      <c r="R62" s="16"/>
      <c r="S62" s="57"/>
      <c r="T62" s="69"/>
      <c r="U62" s="69"/>
      <c r="V62" s="69"/>
    </row>
    <row r="63" spans="1:22" s="2" customFormat="1" ht="12.75" customHeight="1">
      <c r="A63" s="124"/>
      <c r="B63" s="527" t="s">
        <v>12</v>
      </c>
      <c r="C63" s="427">
        <v>20000</v>
      </c>
      <c r="D63" s="398">
        <v>2635</v>
      </c>
      <c r="E63" s="439">
        <f>C63</f>
        <v>20000</v>
      </c>
      <c r="F63" s="439">
        <v>18863</v>
      </c>
      <c r="G63" s="398">
        <v>21000</v>
      </c>
      <c r="H63" s="398">
        <v>16</v>
      </c>
      <c r="I63" s="398"/>
      <c r="J63" s="602">
        <v>23100</v>
      </c>
      <c r="K63" s="26"/>
      <c r="L63" s="30"/>
      <c r="M63" s="65"/>
      <c r="N63" s="65"/>
      <c r="O63" s="69"/>
      <c r="P63" s="357"/>
      <c r="Q63" s="57"/>
      <c r="R63" s="16" t="s">
        <v>263</v>
      </c>
      <c r="S63" s="57"/>
      <c r="T63" s="69"/>
      <c r="U63" s="69"/>
      <c r="V63" s="69"/>
    </row>
    <row r="64" spans="1:22" s="2" customFormat="1" ht="12.75" customHeight="1">
      <c r="A64" s="124"/>
      <c r="B64" s="541" t="s">
        <v>4</v>
      </c>
      <c r="C64" s="542">
        <v>7365189</v>
      </c>
      <c r="D64" s="543">
        <v>6381243</v>
      </c>
      <c r="E64" s="544">
        <v>7425365</v>
      </c>
      <c r="F64" s="544">
        <v>7425365</v>
      </c>
      <c r="G64" s="543">
        <v>7742513</v>
      </c>
      <c r="H64" s="543">
        <v>3185395</v>
      </c>
      <c r="I64" s="543"/>
      <c r="J64" s="606">
        <v>8305246</v>
      </c>
      <c r="K64" s="53"/>
      <c r="L64" s="30"/>
      <c r="M64" s="65"/>
      <c r="N64" s="65"/>
      <c r="O64" s="69"/>
      <c r="P64" s="357"/>
      <c r="Q64" s="57"/>
      <c r="R64" s="16"/>
      <c r="S64" s="57"/>
      <c r="T64" s="69"/>
      <c r="U64" s="69"/>
      <c r="V64" s="5"/>
    </row>
    <row r="65" spans="1:22" s="2" customFormat="1" ht="12.75" customHeight="1">
      <c r="A65" s="124"/>
      <c r="B65" s="580" t="s">
        <v>266</v>
      </c>
      <c r="C65" s="581">
        <v>950000</v>
      </c>
      <c r="D65" s="582">
        <v>950000</v>
      </c>
      <c r="E65" s="583">
        <f>C65</f>
        <v>950000</v>
      </c>
      <c r="F65" s="583">
        <v>950000</v>
      </c>
      <c r="G65" s="582">
        <v>950000</v>
      </c>
      <c r="H65" s="582">
        <v>0</v>
      </c>
      <c r="I65" s="582"/>
      <c r="J65" s="607">
        <f>950000+140000</f>
        <v>1090000</v>
      </c>
      <c r="K65" s="53"/>
      <c r="L65" s="30"/>
      <c r="M65" s="65"/>
      <c r="N65" s="65"/>
      <c r="O65" s="69"/>
      <c r="P65" s="357"/>
      <c r="Q65" s="57"/>
      <c r="R65" s="16">
        <f>J65</f>
        <v>1090000</v>
      </c>
      <c r="S65" s="57"/>
      <c r="T65" s="69"/>
      <c r="U65" s="69"/>
      <c r="V65" s="69"/>
    </row>
    <row r="66" spans="1:22" s="2" customFormat="1" ht="12.75" customHeight="1">
      <c r="A66" s="124"/>
      <c r="B66" s="579" t="s">
        <v>311</v>
      </c>
      <c r="C66" s="576"/>
      <c r="D66" s="620"/>
      <c r="E66" s="578">
        <v>130000</v>
      </c>
      <c r="F66" s="578">
        <v>130000</v>
      </c>
      <c r="G66" s="620"/>
      <c r="H66" s="620"/>
      <c r="I66" s="620"/>
      <c r="J66" s="623"/>
      <c r="K66" s="53"/>
      <c r="L66" s="30"/>
      <c r="M66" s="65"/>
      <c r="N66" s="65"/>
      <c r="O66" s="69"/>
      <c r="P66" s="357"/>
      <c r="Q66" s="57"/>
      <c r="S66" s="57"/>
      <c r="T66" s="69"/>
      <c r="U66" s="69"/>
      <c r="V66" s="69"/>
    </row>
    <row r="67" spans="1:22" s="2" customFormat="1" ht="12.75" customHeight="1">
      <c r="A67" s="124"/>
      <c r="B67" s="579" t="s">
        <v>309</v>
      </c>
      <c r="C67" s="576"/>
      <c r="D67" s="620"/>
      <c r="E67" s="578">
        <v>30000</v>
      </c>
      <c r="F67" s="578">
        <v>30000</v>
      </c>
      <c r="G67" s="620">
        <v>50000</v>
      </c>
      <c r="H67" s="620">
        <v>50000</v>
      </c>
      <c r="I67" s="620"/>
      <c r="J67" s="623"/>
      <c r="K67" s="53"/>
      <c r="L67" s="30"/>
      <c r="M67" s="65"/>
      <c r="N67" s="65"/>
      <c r="O67" s="69"/>
      <c r="P67" s="357"/>
      <c r="Q67" s="57"/>
      <c r="R67" s="16"/>
      <c r="S67" s="57"/>
      <c r="T67" s="69"/>
      <c r="U67" s="69"/>
      <c r="V67" s="69"/>
    </row>
    <row r="68" spans="1:22" s="2" customFormat="1" ht="12.75" customHeight="1">
      <c r="A68" s="124"/>
      <c r="B68" s="584" t="s">
        <v>324</v>
      </c>
      <c r="C68" s="581"/>
      <c r="D68" s="582"/>
      <c r="E68" s="583"/>
      <c r="F68" s="583"/>
      <c r="G68" s="582">
        <v>50000</v>
      </c>
      <c r="H68" s="582"/>
      <c r="I68" s="582"/>
      <c r="J68" s="607">
        <v>50000</v>
      </c>
      <c r="K68" s="53"/>
      <c r="L68" s="30"/>
      <c r="M68" s="65"/>
      <c r="N68" s="65"/>
      <c r="O68" s="69"/>
      <c r="P68" s="357"/>
      <c r="Q68" s="57"/>
      <c r="R68" s="16">
        <f>J68</f>
        <v>50000</v>
      </c>
      <c r="S68" s="57"/>
      <c r="T68" s="69"/>
      <c r="U68" s="69"/>
      <c r="V68" s="69"/>
    </row>
    <row r="69" spans="1:22" s="2" customFormat="1" ht="12.75" customHeight="1">
      <c r="A69" s="124"/>
      <c r="B69" s="585" t="s">
        <v>267</v>
      </c>
      <c r="C69" s="586">
        <v>402930</v>
      </c>
      <c r="D69" s="565">
        <v>340000</v>
      </c>
      <c r="E69" s="566">
        <v>510154</v>
      </c>
      <c r="F69" s="566">
        <v>510154</v>
      </c>
      <c r="G69" s="399"/>
      <c r="H69" s="399"/>
      <c r="I69" s="622"/>
      <c r="J69" s="615">
        <v>800000</v>
      </c>
      <c r="K69" s="53"/>
      <c r="L69" s="30"/>
      <c r="M69" s="65"/>
      <c r="N69" s="65"/>
      <c r="O69" s="69"/>
      <c r="P69" s="357"/>
      <c r="Q69" s="57"/>
      <c r="R69" s="16"/>
      <c r="S69" s="57"/>
      <c r="T69" s="69"/>
      <c r="U69" s="69"/>
      <c r="V69" s="69"/>
    </row>
    <row r="70" spans="1:22" s="2" customFormat="1" ht="12.75" customHeight="1">
      <c r="A70" s="124"/>
      <c r="B70" s="585" t="s">
        <v>296</v>
      </c>
      <c r="C70" s="586"/>
      <c r="D70" s="565">
        <v>55000</v>
      </c>
      <c r="E70" s="439"/>
      <c r="F70" s="439"/>
      <c r="G70" s="399"/>
      <c r="H70" s="399"/>
      <c r="I70" s="399"/>
      <c r="J70" s="615"/>
      <c r="K70" s="53"/>
      <c r="L70" s="30"/>
      <c r="M70" s="65"/>
      <c r="N70" s="65"/>
      <c r="O70" s="69"/>
      <c r="P70" s="357"/>
      <c r="Q70" s="57"/>
      <c r="R70" s="16"/>
      <c r="S70" s="57"/>
      <c r="T70" s="69"/>
      <c r="U70" s="69"/>
      <c r="V70" s="69"/>
    </row>
    <row r="71" spans="1:19" s="2" customFormat="1" ht="12.75" customHeight="1">
      <c r="A71" s="124"/>
      <c r="B71" s="588" t="s">
        <v>325</v>
      </c>
      <c r="C71" s="567">
        <v>30000</v>
      </c>
      <c r="D71" s="565">
        <v>42000</v>
      </c>
      <c r="E71" s="566">
        <f>C71</f>
        <v>30000</v>
      </c>
      <c r="F71" s="566">
        <v>30000</v>
      </c>
      <c r="G71" s="565">
        <v>30000</v>
      </c>
      <c r="H71" s="565"/>
      <c r="I71" s="565"/>
      <c r="J71" s="608">
        <v>30000</v>
      </c>
      <c r="K71" s="53"/>
      <c r="L71" s="30"/>
      <c r="M71" s="65"/>
      <c r="N71" s="65"/>
      <c r="O71" s="69"/>
      <c r="P71" s="357"/>
      <c r="Q71" s="57"/>
      <c r="R71" s="16">
        <f aca="true" t="shared" si="4" ref="R71:R100">J71</f>
        <v>30000</v>
      </c>
      <c r="S71" s="57"/>
    </row>
    <row r="72" spans="1:19" s="2" customFormat="1" ht="12.75" customHeight="1">
      <c r="A72" s="124"/>
      <c r="B72" s="588" t="s">
        <v>295</v>
      </c>
      <c r="C72" s="567"/>
      <c r="D72" s="565">
        <v>30000</v>
      </c>
      <c r="E72" s="439"/>
      <c r="F72" s="439"/>
      <c r="G72" s="399"/>
      <c r="H72" s="399"/>
      <c r="I72" s="399"/>
      <c r="J72" s="615"/>
      <c r="K72" s="53"/>
      <c r="L72" s="30"/>
      <c r="M72" s="65"/>
      <c r="N72" s="65"/>
      <c r="O72" s="69"/>
      <c r="P72" s="357"/>
      <c r="Q72" s="57"/>
      <c r="R72" s="16"/>
      <c r="S72" s="57"/>
    </row>
    <row r="73" spans="1:19" s="2" customFormat="1" ht="12.75" customHeight="1">
      <c r="A73" s="124"/>
      <c r="B73" s="589" t="s">
        <v>351</v>
      </c>
      <c r="C73" s="586">
        <v>40000</v>
      </c>
      <c r="D73" s="565">
        <v>40000</v>
      </c>
      <c r="E73" s="566">
        <f>C73</f>
        <v>40000</v>
      </c>
      <c r="F73" s="566">
        <v>40000</v>
      </c>
      <c r="G73" s="565">
        <v>60000</v>
      </c>
      <c r="H73" s="565"/>
      <c r="I73" s="565"/>
      <c r="J73" s="608">
        <f>60000-30000</f>
        <v>30000</v>
      </c>
      <c r="K73" s="26"/>
      <c r="L73" s="53"/>
      <c r="M73" s="65"/>
      <c r="N73" s="65"/>
      <c r="O73" s="69"/>
      <c r="P73" s="357"/>
      <c r="Q73" s="57"/>
      <c r="R73" s="16">
        <f t="shared" si="4"/>
        <v>30000</v>
      </c>
      <c r="S73" s="57"/>
    </row>
    <row r="74" spans="1:19" s="2" customFormat="1" ht="12.75" customHeight="1">
      <c r="A74" s="124"/>
      <c r="B74" s="590" t="s">
        <v>265</v>
      </c>
      <c r="C74" s="586">
        <v>40000</v>
      </c>
      <c r="D74" s="565">
        <v>40000</v>
      </c>
      <c r="E74" s="566">
        <v>10155</v>
      </c>
      <c r="F74" s="566">
        <v>10155</v>
      </c>
      <c r="G74" s="565">
        <v>25000</v>
      </c>
      <c r="H74" s="565"/>
      <c r="I74" s="565"/>
      <c r="J74" s="608">
        <v>10000</v>
      </c>
      <c r="K74" s="26"/>
      <c r="L74" s="53"/>
      <c r="M74" s="65"/>
      <c r="N74" s="65"/>
      <c r="O74" s="69"/>
      <c r="P74" s="357"/>
      <c r="Q74" s="57"/>
      <c r="R74" s="16">
        <f t="shared" si="4"/>
        <v>10000</v>
      </c>
      <c r="S74" s="57"/>
    </row>
    <row r="75" spans="1:19" s="2" customFormat="1" ht="12.75" customHeight="1">
      <c r="A75" s="124"/>
      <c r="B75" s="590" t="s">
        <v>270</v>
      </c>
      <c r="C75" s="586">
        <v>120000</v>
      </c>
      <c r="D75" s="565">
        <v>135000</v>
      </c>
      <c r="E75" s="566">
        <v>114932</v>
      </c>
      <c r="F75" s="566">
        <v>114932</v>
      </c>
      <c r="G75" s="565">
        <v>130000</v>
      </c>
      <c r="H75" s="565"/>
      <c r="I75" s="565"/>
      <c r="J75" s="608">
        <v>130000</v>
      </c>
      <c r="K75" s="26"/>
      <c r="L75" s="53"/>
      <c r="M75" s="65"/>
      <c r="N75" s="65"/>
      <c r="O75" s="69"/>
      <c r="P75" s="357"/>
      <c r="Q75" s="57"/>
      <c r="R75" s="16">
        <f t="shared" si="4"/>
        <v>130000</v>
      </c>
      <c r="S75" s="57"/>
    </row>
    <row r="76" spans="1:19" s="2" customFormat="1" ht="12.75" customHeight="1">
      <c r="A76" s="124"/>
      <c r="B76" s="590" t="s">
        <v>271</v>
      </c>
      <c r="C76" s="586">
        <v>60000</v>
      </c>
      <c r="D76" s="565">
        <v>60000</v>
      </c>
      <c r="E76" s="566">
        <v>20796</v>
      </c>
      <c r="F76" s="566">
        <v>20796</v>
      </c>
      <c r="G76" s="565">
        <v>30000</v>
      </c>
      <c r="H76" s="565">
        <v>25000</v>
      </c>
      <c r="I76" s="565"/>
      <c r="J76" s="608">
        <v>30000</v>
      </c>
      <c r="K76" s="26"/>
      <c r="L76" s="53"/>
      <c r="M76" s="65"/>
      <c r="N76" s="65"/>
      <c r="O76" s="69"/>
      <c r="P76" s="357"/>
      <c r="Q76" s="57"/>
      <c r="R76" s="16">
        <f t="shared" si="4"/>
        <v>30000</v>
      </c>
      <c r="S76" s="57"/>
    </row>
    <row r="77" spans="1:19" s="2" customFormat="1" ht="12.75" customHeight="1">
      <c r="A77" s="124"/>
      <c r="B77" s="590" t="s">
        <v>297</v>
      </c>
      <c r="C77" s="586"/>
      <c r="D77" s="565">
        <v>20000</v>
      </c>
      <c r="E77" s="439"/>
      <c r="F77" s="439"/>
      <c r="G77" s="399"/>
      <c r="H77" s="399"/>
      <c r="I77" s="399"/>
      <c r="J77" s="615"/>
      <c r="K77" s="26"/>
      <c r="L77" s="53"/>
      <c r="M77" s="65"/>
      <c r="N77" s="65"/>
      <c r="O77" s="69"/>
      <c r="P77" s="357"/>
      <c r="Q77" s="57"/>
      <c r="R77" s="16"/>
      <c r="S77" s="57"/>
    </row>
    <row r="78" spans="1:19" s="2" customFormat="1" ht="12.75" customHeight="1">
      <c r="A78" s="124"/>
      <c r="B78" s="590" t="s">
        <v>272</v>
      </c>
      <c r="C78" s="586">
        <v>15000</v>
      </c>
      <c r="D78" s="565">
        <v>15000</v>
      </c>
      <c r="E78" s="566">
        <v>14881</v>
      </c>
      <c r="F78" s="566">
        <v>14881</v>
      </c>
      <c r="G78" s="565">
        <v>15000</v>
      </c>
      <c r="H78" s="565"/>
      <c r="I78" s="565"/>
      <c r="J78" s="608">
        <v>15000</v>
      </c>
      <c r="K78" s="26"/>
      <c r="L78" s="53"/>
      <c r="M78" s="65"/>
      <c r="N78" s="65"/>
      <c r="O78" s="69"/>
      <c r="P78" s="357"/>
      <c r="Q78" s="57"/>
      <c r="R78" s="16">
        <f t="shared" si="4"/>
        <v>15000</v>
      </c>
      <c r="S78" s="57"/>
    </row>
    <row r="79" spans="1:19" s="2" customFormat="1" ht="12.75" customHeight="1">
      <c r="A79" s="124"/>
      <c r="B79" s="590" t="s">
        <v>273</v>
      </c>
      <c r="C79" s="586"/>
      <c r="D79" s="565">
        <v>45000</v>
      </c>
      <c r="E79" s="439"/>
      <c r="F79" s="439"/>
      <c r="G79" s="399"/>
      <c r="H79" s="399"/>
      <c r="I79" s="399"/>
      <c r="J79" s="615"/>
      <c r="K79" s="26"/>
      <c r="L79" s="53"/>
      <c r="M79" s="65"/>
      <c r="N79" s="65"/>
      <c r="O79" s="69"/>
      <c r="P79" s="357"/>
      <c r="Q79" s="57"/>
      <c r="R79" s="16"/>
      <c r="S79" s="57"/>
    </row>
    <row r="80" spans="1:19" s="2" customFormat="1" ht="12.75" customHeight="1">
      <c r="A80" s="124"/>
      <c r="B80" s="590" t="s">
        <v>274</v>
      </c>
      <c r="C80" s="586">
        <v>50000</v>
      </c>
      <c r="D80" s="565">
        <v>20000</v>
      </c>
      <c r="E80" s="566">
        <v>7767</v>
      </c>
      <c r="F80" s="566">
        <v>7767</v>
      </c>
      <c r="G80" s="565">
        <v>20000</v>
      </c>
      <c r="H80" s="565"/>
      <c r="I80" s="565"/>
      <c r="J80" s="608">
        <v>20000</v>
      </c>
      <c r="K80" s="26"/>
      <c r="L80" s="53"/>
      <c r="M80" s="65"/>
      <c r="N80" s="65"/>
      <c r="O80" s="69"/>
      <c r="P80" s="357"/>
      <c r="Q80" s="57"/>
      <c r="R80" s="16">
        <f t="shared" si="4"/>
        <v>20000</v>
      </c>
      <c r="S80" s="57"/>
    </row>
    <row r="81" spans="1:19" s="2" customFormat="1" ht="12.75" customHeight="1">
      <c r="A81" s="124"/>
      <c r="B81" s="590" t="s">
        <v>275</v>
      </c>
      <c r="C81" s="581">
        <v>30000</v>
      </c>
      <c r="D81" s="582">
        <v>30000</v>
      </c>
      <c r="E81" s="583">
        <f>C81</f>
        <v>30000</v>
      </c>
      <c r="F81" s="583">
        <v>30000</v>
      </c>
      <c r="G81" s="582">
        <v>20000</v>
      </c>
      <c r="H81" s="582">
        <v>10000</v>
      </c>
      <c r="I81" s="565"/>
      <c r="J81" s="608">
        <v>20000</v>
      </c>
      <c r="K81" s="26"/>
      <c r="L81" s="53"/>
      <c r="M81" s="65"/>
      <c r="N81" s="65"/>
      <c r="O81" s="69"/>
      <c r="P81" s="357"/>
      <c r="Q81" s="57"/>
      <c r="R81" s="16">
        <f t="shared" si="4"/>
        <v>20000</v>
      </c>
      <c r="S81" s="57"/>
    </row>
    <row r="82" spans="1:19" s="2" customFormat="1" ht="12.75" customHeight="1">
      <c r="A82" s="124"/>
      <c r="B82" s="590" t="s">
        <v>276</v>
      </c>
      <c r="C82" s="581">
        <v>80000</v>
      </c>
      <c r="D82" s="582">
        <v>75000</v>
      </c>
      <c r="E82" s="583">
        <v>184524</v>
      </c>
      <c r="F82" s="583">
        <v>184524</v>
      </c>
      <c r="G82" s="582">
        <v>280000</v>
      </c>
      <c r="H82" s="582">
        <v>140000</v>
      </c>
      <c r="I82" s="565"/>
      <c r="J82" s="608">
        <v>180000</v>
      </c>
      <c r="K82" s="26"/>
      <c r="L82" s="53"/>
      <c r="M82" s="65"/>
      <c r="N82" s="65"/>
      <c r="O82" s="69"/>
      <c r="P82" s="357"/>
      <c r="Q82" s="57"/>
      <c r="R82" s="16">
        <f t="shared" si="4"/>
        <v>180000</v>
      </c>
      <c r="S82" s="57"/>
    </row>
    <row r="83" spans="1:19" s="2" customFormat="1" ht="12.75" customHeight="1">
      <c r="A83" s="124"/>
      <c r="B83" s="579" t="s">
        <v>178</v>
      </c>
      <c r="C83" s="576"/>
      <c r="D83" s="620"/>
      <c r="E83" s="578">
        <v>50000</v>
      </c>
      <c r="F83" s="578">
        <v>50000</v>
      </c>
      <c r="G83" s="620"/>
      <c r="H83" s="620"/>
      <c r="I83" s="399"/>
      <c r="J83" s="615"/>
      <c r="K83" s="26"/>
      <c r="L83" s="53"/>
      <c r="M83" s="65"/>
      <c r="N83" s="65"/>
      <c r="O83" s="69"/>
      <c r="P83" s="357"/>
      <c r="Q83" s="57"/>
      <c r="R83" s="16"/>
      <c r="S83" s="57"/>
    </row>
    <row r="84" spans="1:19" s="2" customFormat="1" ht="12.75" customHeight="1">
      <c r="A84" s="124"/>
      <c r="B84" s="584" t="s">
        <v>277</v>
      </c>
      <c r="C84" s="581">
        <v>50000</v>
      </c>
      <c r="D84" s="582"/>
      <c r="E84" s="583">
        <f>C84</f>
        <v>50000</v>
      </c>
      <c r="F84" s="583">
        <v>50000</v>
      </c>
      <c r="G84" s="582">
        <v>40500</v>
      </c>
      <c r="H84" s="582">
        <v>50000</v>
      </c>
      <c r="I84" s="565"/>
      <c r="J84" s="608">
        <v>50000</v>
      </c>
      <c r="K84" s="26"/>
      <c r="L84" s="53"/>
      <c r="M84" s="65"/>
      <c r="N84" s="65"/>
      <c r="O84" s="69"/>
      <c r="P84" s="357"/>
      <c r="Q84" s="57"/>
      <c r="R84" s="16">
        <f t="shared" si="4"/>
        <v>50000</v>
      </c>
      <c r="S84" s="57"/>
    </row>
    <row r="85" spans="1:19" s="2" customFormat="1" ht="12.75" customHeight="1">
      <c r="A85" s="124"/>
      <c r="B85" s="584" t="s">
        <v>278</v>
      </c>
      <c r="C85" s="581"/>
      <c r="D85" s="582"/>
      <c r="E85" s="583"/>
      <c r="F85" s="583"/>
      <c r="G85" s="582">
        <v>0</v>
      </c>
      <c r="H85" s="582">
        <v>50000</v>
      </c>
      <c r="I85" s="565"/>
      <c r="J85" s="608">
        <v>30000</v>
      </c>
      <c r="K85" s="26"/>
      <c r="L85" s="53"/>
      <c r="M85" s="65"/>
      <c r="N85" s="65"/>
      <c r="O85" s="69"/>
      <c r="P85" s="357"/>
      <c r="Q85" s="57"/>
      <c r="R85" s="16">
        <f t="shared" si="4"/>
        <v>30000</v>
      </c>
      <c r="S85" s="57"/>
    </row>
    <row r="86" spans="1:19" s="2" customFormat="1" ht="12.75" customHeight="1">
      <c r="A86" s="124"/>
      <c r="B86" s="584" t="s">
        <v>279</v>
      </c>
      <c r="C86" s="581">
        <v>20000</v>
      </c>
      <c r="D86" s="582">
        <v>20000</v>
      </c>
      <c r="E86" s="583">
        <f>C86</f>
        <v>20000</v>
      </c>
      <c r="F86" s="583">
        <v>20000</v>
      </c>
      <c r="G86" s="620"/>
      <c r="H86" s="620"/>
      <c r="I86" s="399"/>
      <c r="J86" s="615"/>
      <c r="K86" s="26"/>
      <c r="L86" s="53"/>
      <c r="M86" s="65"/>
      <c r="N86" s="65"/>
      <c r="O86" s="69"/>
      <c r="P86" s="357"/>
      <c r="Q86" s="57"/>
      <c r="R86" s="16"/>
      <c r="S86" s="57"/>
    </row>
    <row r="87" spans="1:19" s="2" customFormat="1" ht="12.75" customHeight="1">
      <c r="A87" s="124"/>
      <c r="B87" s="584" t="s">
        <v>280</v>
      </c>
      <c r="C87" s="581">
        <v>370000</v>
      </c>
      <c r="D87" s="582">
        <v>207999</v>
      </c>
      <c r="E87" s="583">
        <f>C87</f>
        <v>370000</v>
      </c>
      <c r="F87" s="583">
        <v>370000</v>
      </c>
      <c r="G87" s="582">
        <v>370000</v>
      </c>
      <c r="H87" s="582"/>
      <c r="I87" s="565"/>
      <c r="J87" s="608">
        <v>270000</v>
      </c>
      <c r="K87" s="26"/>
      <c r="L87" s="53"/>
      <c r="M87" s="65"/>
      <c r="N87" s="65"/>
      <c r="O87" s="69"/>
      <c r="P87" s="357"/>
      <c r="Q87" s="57"/>
      <c r="R87" s="16">
        <f t="shared" si="4"/>
        <v>270000</v>
      </c>
      <c r="S87" s="57"/>
    </row>
    <row r="88" spans="1:19" s="2" customFormat="1" ht="12.75" customHeight="1">
      <c r="A88" s="124"/>
      <c r="B88" s="584" t="s">
        <v>281</v>
      </c>
      <c r="C88" s="581">
        <v>20000</v>
      </c>
      <c r="D88" s="582">
        <v>8000</v>
      </c>
      <c r="E88" s="583">
        <v>0</v>
      </c>
      <c r="F88" s="583">
        <v>0</v>
      </c>
      <c r="G88" s="582">
        <v>20000</v>
      </c>
      <c r="H88" s="582"/>
      <c r="I88" s="565"/>
      <c r="J88" s="608">
        <v>20000</v>
      </c>
      <c r="K88" s="26"/>
      <c r="L88" s="53"/>
      <c r="M88" s="65"/>
      <c r="N88" s="65"/>
      <c r="O88" s="69"/>
      <c r="P88" s="357"/>
      <c r="Q88" s="57"/>
      <c r="R88" s="16">
        <f t="shared" si="4"/>
        <v>20000</v>
      </c>
      <c r="S88" s="57"/>
    </row>
    <row r="89" spans="1:19" s="2" customFormat="1" ht="12.75" customHeight="1">
      <c r="A89" s="124"/>
      <c r="B89" s="584" t="s">
        <v>282</v>
      </c>
      <c r="C89" s="581">
        <v>50000</v>
      </c>
      <c r="D89" s="582">
        <v>12001</v>
      </c>
      <c r="E89" s="583">
        <v>34336</v>
      </c>
      <c r="F89" s="583">
        <v>34336</v>
      </c>
      <c r="G89" s="582">
        <v>50000</v>
      </c>
      <c r="H89" s="582"/>
      <c r="I89" s="565"/>
      <c r="J89" s="608">
        <f>50000-5000</f>
        <v>45000</v>
      </c>
      <c r="K89" s="26"/>
      <c r="L89" s="53"/>
      <c r="M89" s="65"/>
      <c r="N89" s="65"/>
      <c r="O89" s="69"/>
      <c r="P89" s="357"/>
      <c r="Q89" s="57"/>
      <c r="R89" s="16">
        <f t="shared" si="4"/>
        <v>45000</v>
      </c>
      <c r="S89" s="57"/>
    </row>
    <row r="90" spans="1:19" s="2" customFormat="1" ht="12.75" customHeight="1">
      <c r="A90" s="124"/>
      <c r="B90" s="579" t="s">
        <v>183</v>
      </c>
      <c r="C90" s="576"/>
      <c r="D90" s="620"/>
      <c r="E90" s="578">
        <v>10000</v>
      </c>
      <c r="F90" s="578">
        <v>10000</v>
      </c>
      <c r="G90" s="620"/>
      <c r="H90" s="620"/>
      <c r="I90" s="399"/>
      <c r="J90" s="615"/>
      <c r="K90" s="26"/>
      <c r="L90" s="53"/>
      <c r="M90" s="65"/>
      <c r="N90" s="65"/>
      <c r="O90" s="69"/>
      <c r="P90" s="357"/>
      <c r="Q90" s="57"/>
      <c r="R90" s="16"/>
      <c r="S90" s="57"/>
    </row>
    <row r="91" spans="1:19" s="2" customFormat="1" ht="12.75" customHeight="1">
      <c r="A91" s="124"/>
      <c r="B91" s="584" t="s">
        <v>327</v>
      </c>
      <c r="C91" s="581">
        <v>20000</v>
      </c>
      <c r="D91" s="582">
        <v>20000</v>
      </c>
      <c r="E91" s="583">
        <f>C91</f>
        <v>20000</v>
      </c>
      <c r="F91" s="583">
        <v>20000</v>
      </c>
      <c r="G91" s="582">
        <v>20000</v>
      </c>
      <c r="H91" s="582">
        <v>20000</v>
      </c>
      <c r="I91" s="565"/>
      <c r="J91" s="608">
        <v>10000</v>
      </c>
      <c r="K91" s="26"/>
      <c r="L91" s="53"/>
      <c r="M91" s="65"/>
      <c r="N91" s="65"/>
      <c r="O91" s="69"/>
      <c r="P91" s="357"/>
      <c r="Q91" s="57"/>
      <c r="R91" s="16">
        <f t="shared" si="4"/>
        <v>10000</v>
      </c>
      <c r="S91" s="57"/>
    </row>
    <row r="92" spans="1:19" s="2" customFormat="1" ht="12.75" customHeight="1">
      <c r="A92" s="124"/>
      <c r="B92" s="584" t="s">
        <v>321</v>
      </c>
      <c r="C92" s="581"/>
      <c r="D92" s="582"/>
      <c r="E92" s="583"/>
      <c r="F92" s="583"/>
      <c r="G92" s="582">
        <v>210000</v>
      </c>
      <c r="H92" s="582"/>
      <c r="I92" s="587"/>
      <c r="J92" s="608">
        <v>100000</v>
      </c>
      <c r="K92" s="26"/>
      <c r="L92" s="53"/>
      <c r="M92" s="65"/>
      <c r="N92" s="65"/>
      <c r="O92" s="69"/>
      <c r="P92" s="357"/>
      <c r="Q92" s="57"/>
      <c r="R92" s="16">
        <f>J92</f>
        <v>100000</v>
      </c>
      <c r="S92" s="57"/>
    </row>
    <row r="93" spans="1:19" s="2" customFormat="1" ht="12.75" customHeight="1">
      <c r="A93" s="124"/>
      <c r="B93" s="584" t="s">
        <v>320</v>
      </c>
      <c r="C93" s="581"/>
      <c r="D93" s="582"/>
      <c r="E93" s="594">
        <v>40000</v>
      </c>
      <c r="F93" s="594">
        <v>40000</v>
      </c>
      <c r="G93" s="582">
        <v>50000</v>
      </c>
      <c r="H93" s="582"/>
      <c r="I93" s="587"/>
      <c r="J93" s="608">
        <v>50000</v>
      </c>
      <c r="K93" s="26"/>
      <c r="L93" s="53"/>
      <c r="M93" s="65"/>
      <c r="N93" s="65"/>
      <c r="O93" s="69"/>
      <c r="P93" s="357"/>
      <c r="Q93" s="57"/>
      <c r="R93" s="16">
        <f>J93</f>
        <v>50000</v>
      </c>
      <c r="S93" s="57"/>
    </row>
    <row r="94" spans="1:19" s="2" customFormat="1" ht="12.75" customHeight="1">
      <c r="A94" s="124"/>
      <c r="B94" s="579" t="s">
        <v>312</v>
      </c>
      <c r="C94" s="576"/>
      <c r="D94" s="620"/>
      <c r="E94" s="621">
        <v>15000</v>
      </c>
      <c r="F94" s="621">
        <v>15000</v>
      </c>
      <c r="G94" s="620"/>
      <c r="H94" s="620"/>
      <c r="I94" s="622"/>
      <c r="J94" s="615"/>
      <c r="K94" s="26"/>
      <c r="L94" s="53"/>
      <c r="M94" s="65"/>
      <c r="N94" s="65"/>
      <c r="O94" s="69"/>
      <c r="P94" s="357"/>
      <c r="Q94" s="57"/>
      <c r="R94" s="16"/>
      <c r="S94" s="57"/>
    </row>
    <row r="95" spans="1:19" s="2" customFormat="1" ht="12.75" customHeight="1" hidden="1">
      <c r="A95" s="124"/>
      <c r="B95" s="584" t="s">
        <v>284</v>
      </c>
      <c r="C95" s="581"/>
      <c r="D95" s="582"/>
      <c r="E95" s="594"/>
      <c r="F95" s="594"/>
      <c r="G95" s="582"/>
      <c r="H95" s="582"/>
      <c r="I95" s="587"/>
      <c r="J95" s="608"/>
      <c r="K95" s="26"/>
      <c r="L95" s="53"/>
      <c r="M95" s="65"/>
      <c r="N95" s="65"/>
      <c r="O95" s="69"/>
      <c r="P95" s="357"/>
      <c r="Q95" s="57"/>
      <c r="R95" s="16">
        <f t="shared" si="4"/>
        <v>0</v>
      </c>
      <c r="S95" s="57"/>
    </row>
    <row r="96" spans="1:19" s="2" customFormat="1" ht="12.75" customHeight="1">
      <c r="A96" s="124"/>
      <c r="B96" s="625" t="s">
        <v>256</v>
      </c>
      <c r="C96" s="624"/>
      <c r="D96" s="626"/>
      <c r="E96" s="627"/>
      <c r="F96" s="627"/>
      <c r="G96" s="626"/>
      <c r="H96" s="626"/>
      <c r="I96" s="626"/>
      <c r="J96" s="628">
        <v>0</v>
      </c>
      <c r="K96" s="26"/>
      <c r="L96" s="53"/>
      <c r="M96" s="65"/>
      <c r="N96" s="65"/>
      <c r="O96" s="69"/>
      <c r="P96" s="357"/>
      <c r="Q96" s="57"/>
      <c r="R96" s="16">
        <f t="shared" si="4"/>
        <v>0</v>
      </c>
      <c r="S96" s="57"/>
    </row>
    <row r="97" spans="1:19" s="2" customFormat="1" ht="12.75" customHeight="1">
      <c r="A97" s="124"/>
      <c r="B97" s="584" t="s">
        <v>285</v>
      </c>
      <c r="C97" s="581"/>
      <c r="D97" s="582"/>
      <c r="E97" s="594"/>
      <c r="F97" s="594"/>
      <c r="G97" s="582">
        <v>90000</v>
      </c>
      <c r="H97" s="620"/>
      <c r="I97" s="622"/>
      <c r="J97" s="615"/>
      <c r="K97" s="26"/>
      <c r="L97" s="53"/>
      <c r="M97" s="65"/>
      <c r="N97" s="65"/>
      <c r="O97" s="69"/>
      <c r="P97" s="357"/>
      <c r="Q97" s="57"/>
      <c r="R97" s="16">
        <f t="shared" si="4"/>
        <v>0</v>
      </c>
      <c r="S97" s="57"/>
    </row>
    <row r="98" spans="1:19" s="2" customFormat="1" ht="12.75" customHeight="1">
      <c r="A98" s="124"/>
      <c r="B98" s="584" t="s">
        <v>319</v>
      </c>
      <c r="C98" s="581"/>
      <c r="D98" s="582"/>
      <c r="E98" s="594"/>
      <c r="F98" s="594"/>
      <c r="G98" s="582">
        <v>50000</v>
      </c>
      <c r="H98" s="582">
        <v>10000</v>
      </c>
      <c r="I98" s="587"/>
      <c r="J98" s="608">
        <v>50000</v>
      </c>
      <c r="K98" s="26"/>
      <c r="L98" s="53"/>
      <c r="M98" s="65"/>
      <c r="N98" s="65"/>
      <c r="O98" s="69"/>
      <c r="P98" s="357"/>
      <c r="Q98" s="57"/>
      <c r="R98" s="16">
        <f t="shared" si="4"/>
        <v>50000</v>
      </c>
      <c r="S98" s="57"/>
    </row>
    <row r="99" spans="1:19" s="2" customFormat="1" ht="12.75" customHeight="1">
      <c r="A99" s="124"/>
      <c r="B99" s="625" t="s">
        <v>326</v>
      </c>
      <c r="C99" s="624"/>
      <c r="D99" s="626"/>
      <c r="E99" s="627"/>
      <c r="F99" s="627"/>
      <c r="G99" s="626"/>
      <c r="H99" s="626"/>
      <c r="I99" s="626"/>
      <c r="J99" s="628">
        <v>20000</v>
      </c>
      <c r="K99" s="26"/>
      <c r="L99" s="53"/>
      <c r="M99" s="65"/>
      <c r="N99" s="65"/>
      <c r="O99" s="69"/>
      <c r="P99" s="357"/>
      <c r="Q99" s="57"/>
      <c r="R99" s="16">
        <f t="shared" si="4"/>
        <v>20000</v>
      </c>
      <c r="S99" s="57"/>
    </row>
    <row r="100" spans="1:19" s="2" customFormat="1" ht="12.75" customHeight="1">
      <c r="A100" s="124"/>
      <c r="B100" s="625" t="s">
        <v>328</v>
      </c>
      <c r="C100" s="624"/>
      <c r="D100" s="626"/>
      <c r="E100" s="627"/>
      <c r="F100" s="627"/>
      <c r="G100" s="626"/>
      <c r="H100" s="626"/>
      <c r="I100" s="626"/>
      <c r="J100" s="628">
        <v>10000</v>
      </c>
      <c r="K100" s="4"/>
      <c r="L100" s="53"/>
      <c r="M100" s="65"/>
      <c r="N100" s="65"/>
      <c r="O100" s="69"/>
      <c r="P100" s="357"/>
      <c r="Q100" s="57"/>
      <c r="R100" s="16">
        <f t="shared" si="4"/>
        <v>10000</v>
      </c>
      <c r="S100" s="57"/>
    </row>
    <row r="101" spans="1:19" s="2" customFormat="1" ht="12.75" customHeight="1">
      <c r="A101" s="124"/>
      <c r="B101" s="579" t="s">
        <v>323</v>
      </c>
      <c r="C101" s="576"/>
      <c r="D101" s="577">
        <f>130000+90000+30000+100000+57000+393700+15000</f>
        <v>815700</v>
      </c>
      <c r="E101" s="578"/>
      <c r="F101" s="578">
        <v>155382</v>
      </c>
      <c r="G101" s="577"/>
      <c r="H101" s="577"/>
      <c r="I101" s="406"/>
      <c r="J101" s="602">
        <v>0</v>
      </c>
      <c r="K101" s="26"/>
      <c r="L101" s="53"/>
      <c r="M101" s="65"/>
      <c r="N101" s="65"/>
      <c r="O101" s="69"/>
      <c r="P101" s="357"/>
      <c r="Q101" s="57"/>
      <c r="R101" s="16"/>
      <c r="S101" s="57"/>
    </row>
    <row r="102" spans="1:19" s="2" customFormat="1" ht="12.75" customHeight="1" hidden="1">
      <c r="A102" s="124"/>
      <c r="B102" s="579"/>
      <c r="C102" s="576"/>
      <c r="D102" s="577"/>
      <c r="E102" s="578"/>
      <c r="F102" s="578"/>
      <c r="G102" s="577"/>
      <c r="H102" s="577"/>
      <c r="I102" s="398"/>
      <c r="J102" s="602"/>
      <c r="K102" s="26"/>
      <c r="L102" s="53"/>
      <c r="M102" s="65"/>
      <c r="N102" s="65"/>
      <c r="O102" s="69"/>
      <c r="P102" s="357"/>
      <c r="Q102" s="57"/>
      <c r="R102" s="16"/>
      <c r="S102" s="57"/>
    </row>
    <row r="103" spans="1:19" s="2" customFormat="1" ht="12.75" customHeight="1" hidden="1">
      <c r="A103" s="124"/>
      <c r="B103" s="579"/>
      <c r="C103" s="429"/>
      <c r="D103" s="406"/>
      <c r="E103" s="441"/>
      <c r="F103" s="441"/>
      <c r="G103" s="406"/>
      <c r="H103" s="406"/>
      <c r="I103" s="406"/>
      <c r="J103" s="602"/>
      <c r="K103" s="26"/>
      <c r="L103" s="53"/>
      <c r="M103" s="65"/>
      <c r="N103" s="65"/>
      <c r="O103" s="69"/>
      <c r="P103" s="357"/>
      <c r="Q103" s="57"/>
      <c r="R103" s="16"/>
      <c r="S103" s="57"/>
    </row>
    <row r="104" spans="1:19" s="2" customFormat="1" ht="12.75" customHeight="1" hidden="1">
      <c r="A104" s="124"/>
      <c r="B104" s="579"/>
      <c r="C104" s="429"/>
      <c r="D104" s="406"/>
      <c r="E104" s="441"/>
      <c r="F104" s="441"/>
      <c r="G104" s="406"/>
      <c r="H104" s="406"/>
      <c r="I104" s="406"/>
      <c r="J104" s="602"/>
      <c r="K104" s="26"/>
      <c r="L104" s="53"/>
      <c r="M104" s="65"/>
      <c r="N104" s="65"/>
      <c r="O104" s="69"/>
      <c r="P104" s="357"/>
      <c r="Q104" s="57"/>
      <c r="R104" s="16"/>
      <c r="S104" s="57"/>
    </row>
    <row r="105" spans="1:19" s="2" customFormat="1" ht="12.75" customHeight="1" hidden="1">
      <c r="A105" s="124"/>
      <c r="B105" s="579"/>
      <c r="C105" s="429"/>
      <c r="D105" s="406"/>
      <c r="E105" s="441"/>
      <c r="F105" s="441"/>
      <c r="G105" s="406"/>
      <c r="H105" s="406"/>
      <c r="I105" s="406"/>
      <c r="J105" s="602"/>
      <c r="K105" s="26"/>
      <c r="L105" s="53"/>
      <c r="M105" s="65"/>
      <c r="N105" s="65"/>
      <c r="O105" s="69"/>
      <c r="P105" s="357"/>
      <c r="Q105" s="57"/>
      <c r="R105" s="16"/>
      <c r="S105" s="57"/>
    </row>
    <row r="106" spans="1:19" s="108" customFormat="1" ht="12.75" customHeight="1" thickBot="1">
      <c r="A106" s="284"/>
      <c r="B106" s="591" t="s">
        <v>53</v>
      </c>
      <c r="C106" s="446">
        <v>68000</v>
      </c>
      <c r="D106" s="443">
        <v>68067</v>
      </c>
      <c r="E106" s="442">
        <v>68000</v>
      </c>
      <c r="F106" s="442"/>
      <c r="G106" s="443"/>
      <c r="H106" s="443"/>
      <c r="I106" s="443"/>
      <c r="J106" s="603"/>
      <c r="K106" s="26"/>
      <c r="L106" s="53"/>
      <c r="M106" s="81"/>
      <c r="N106" s="81"/>
      <c r="O106" s="70"/>
      <c r="P106" s="364"/>
      <c r="Q106" s="57"/>
      <c r="R106" s="16"/>
      <c r="S106" s="57"/>
    </row>
    <row r="107" spans="1:19" s="11" customFormat="1" ht="14.25" thickBot="1">
      <c r="A107" s="124"/>
      <c r="B107" s="447" t="s">
        <v>13</v>
      </c>
      <c r="C107" s="178">
        <f aca="true" t="shared" si="5" ref="C107:J107">SUM(C59:C106)</f>
        <v>12493975</v>
      </c>
      <c r="D107" s="365">
        <f t="shared" si="5"/>
        <v>12314901</v>
      </c>
      <c r="E107" s="435">
        <f t="shared" si="5"/>
        <v>12888766</v>
      </c>
      <c r="F107" s="435">
        <f t="shared" si="5"/>
        <v>12988703</v>
      </c>
      <c r="G107" s="365">
        <f t="shared" si="5"/>
        <v>13719257</v>
      </c>
      <c r="H107" s="365">
        <f t="shared" si="5"/>
        <v>5064711</v>
      </c>
      <c r="I107" s="365">
        <f t="shared" si="5"/>
        <v>0</v>
      </c>
      <c r="J107" s="365">
        <f t="shared" si="5"/>
        <v>14336346</v>
      </c>
      <c r="K107" s="56"/>
      <c r="L107" s="56"/>
      <c r="M107" s="82"/>
      <c r="N107" s="82"/>
      <c r="O107" s="83"/>
      <c r="P107" s="359"/>
      <c r="Q107" s="52"/>
      <c r="R107" s="501">
        <f>SUM(R65:R106)</f>
        <v>2260000</v>
      </c>
      <c r="S107" s="134"/>
    </row>
    <row r="108" spans="1:19" s="11" customFormat="1" ht="9" customHeight="1" thickBot="1">
      <c r="A108" s="124"/>
      <c r="B108" s="327"/>
      <c r="C108" s="366"/>
      <c r="D108" s="367"/>
      <c r="E108" s="5"/>
      <c r="F108" s="5"/>
      <c r="G108" s="367"/>
      <c r="H108" s="367"/>
      <c r="I108" s="367"/>
      <c r="J108" s="609"/>
      <c r="K108" s="56"/>
      <c r="L108" s="56"/>
      <c r="M108" s="82"/>
      <c r="N108" s="82"/>
      <c r="O108" s="83"/>
      <c r="P108" s="124"/>
      <c r="Q108" s="52"/>
      <c r="R108" s="16"/>
      <c r="S108" s="134"/>
    </row>
    <row r="109" spans="1:19" s="11" customFormat="1" ht="15" thickBot="1" thickTop="1">
      <c r="A109" s="124"/>
      <c r="B109" s="340" t="s">
        <v>167</v>
      </c>
      <c r="C109" s="341"/>
      <c r="D109" s="343">
        <f aca="true" t="shared" si="6" ref="D109:J109">D107-D56</f>
        <v>-154646</v>
      </c>
      <c r="E109" s="343">
        <f t="shared" si="6"/>
        <v>0</v>
      </c>
      <c r="F109" s="343">
        <f t="shared" si="6"/>
        <v>25684</v>
      </c>
      <c r="G109" s="343">
        <f t="shared" si="6"/>
        <v>0</v>
      </c>
      <c r="H109" s="343">
        <f t="shared" si="6"/>
        <v>-171073</v>
      </c>
      <c r="I109" s="343">
        <f t="shared" si="6"/>
        <v>-6245701</v>
      </c>
      <c r="J109" s="610">
        <f t="shared" si="6"/>
        <v>0</v>
      </c>
      <c r="K109" s="56"/>
      <c r="L109" s="56"/>
      <c r="M109" s="82"/>
      <c r="N109" s="82"/>
      <c r="O109" s="83"/>
      <c r="P109" s="124"/>
      <c r="Q109" s="52"/>
      <c r="R109" s="16"/>
      <c r="S109" s="134"/>
    </row>
    <row r="110" spans="2:19" ht="8.25" customHeight="1" thickTop="1">
      <c r="B110" s="67"/>
      <c r="C110" s="67"/>
      <c r="D110" s="67"/>
      <c r="E110" s="67"/>
      <c r="F110" s="67"/>
      <c r="G110" s="368"/>
      <c r="H110" s="368"/>
      <c r="I110" s="368"/>
      <c r="R110" s="28"/>
      <c r="S110" s="134"/>
    </row>
    <row r="111" spans="2:19" ht="18" thickBot="1">
      <c r="B111" s="874" t="s">
        <v>14</v>
      </c>
      <c r="C111" s="874"/>
      <c r="D111" s="874"/>
      <c r="E111" s="874"/>
      <c r="F111" s="874"/>
      <c r="G111" s="874"/>
      <c r="H111" s="874"/>
      <c r="I111" s="874"/>
      <c r="J111" s="874"/>
      <c r="K111" s="874"/>
      <c r="L111" s="874"/>
      <c r="R111" s="29"/>
      <c r="S111" s="134"/>
    </row>
    <row r="112" spans="2:19" ht="15">
      <c r="B112" s="454" t="s">
        <v>0</v>
      </c>
      <c r="C112" s="93" t="s">
        <v>299</v>
      </c>
      <c r="D112" s="350" t="s">
        <v>137</v>
      </c>
      <c r="E112" s="93" t="s">
        <v>299</v>
      </c>
      <c r="F112" s="350" t="s">
        <v>137</v>
      </c>
      <c r="G112" s="93" t="s">
        <v>299</v>
      </c>
      <c r="H112" s="350" t="s">
        <v>338</v>
      </c>
      <c r="I112" s="383" t="s">
        <v>302</v>
      </c>
      <c r="J112" s="598" t="s">
        <v>165</v>
      </c>
      <c r="K112" s="9"/>
      <c r="L112" s="36"/>
      <c r="M112" s="1"/>
      <c r="N112" s="1"/>
      <c r="O112" s="41"/>
      <c r="P112" s="351" t="s">
        <v>136</v>
      </c>
      <c r="R112" s="135"/>
      <c r="S112" s="134"/>
    </row>
    <row r="113" spans="2:21" ht="15.75" thickBot="1">
      <c r="B113" s="455"/>
      <c r="C113" s="539">
        <v>2015</v>
      </c>
      <c r="D113" s="353">
        <v>2015</v>
      </c>
      <c r="E113" s="540">
        <v>2016</v>
      </c>
      <c r="F113" s="540">
        <v>2016</v>
      </c>
      <c r="G113" s="353">
        <v>2017</v>
      </c>
      <c r="H113" s="418" t="s">
        <v>339</v>
      </c>
      <c r="I113" s="418" t="s">
        <v>303</v>
      </c>
      <c r="J113" s="599" t="s">
        <v>300</v>
      </c>
      <c r="K113" s="9"/>
      <c r="L113" s="36"/>
      <c r="M113" s="1"/>
      <c r="N113" s="1"/>
      <c r="O113" s="41"/>
      <c r="P113" s="355"/>
      <c r="R113" s="29"/>
      <c r="S113" s="134"/>
      <c r="T113" s="29"/>
      <c r="U113" s="29"/>
    </row>
    <row r="114" spans="1:21" s="2" customFormat="1" ht="12.75" customHeight="1">
      <c r="A114" s="124"/>
      <c r="B114" s="456" t="s">
        <v>322</v>
      </c>
      <c r="C114" s="452">
        <v>169000</v>
      </c>
      <c r="D114" s="437">
        <v>42335</v>
      </c>
      <c r="E114" s="448">
        <v>50000</v>
      </c>
      <c r="F114" s="448">
        <v>40506</v>
      </c>
      <c r="G114" s="437">
        <v>47100</v>
      </c>
      <c r="H114" s="437">
        <v>27252</v>
      </c>
      <c r="I114" s="437"/>
      <c r="J114" s="605">
        <v>45000</v>
      </c>
      <c r="K114" s="4"/>
      <c r="L114" s="30"/>
      <c r="P114" s="356"/>
      <c r="R114" s="70"/>
      <c r="S114" s="134"/>
      <c r="T114" s="70"/>
      <c r="U114" s="70"/>
    </row>
    <row r="115" spans="1:21" s="2" customFormat="1" ht="12.75" customHeight="1">
      <c r="A115" s="124"/>
      <c r="B115" s="457" t="s">
        <v>314</v>
      </c>
      <c r="C115" s="430"/>
      <c r="D115" s="398">
        <v>20088</v>
      </c>
      <c r="E115" s="397">
        <v>11000</v>
      </c>
      <c r="F115" s="397">
        <v>17147</v>
      </c>
      <c r="G115" s="398">
        <v>17300</v>
      </c>
      <c r="H115" s="398">
        <v>7095</v>
      </c>
      <c r="I115" s="398"/>
      <c r="J115" s="602">
        <v>18000</v>
      </c>
      <c r="K115" s="4"/>
      <c r="L115" s="30"/>
      <c r="P115" s="357"/>
      <c r="R115" s="70"/>
      <c r="S115" s="134"/>
      <c r="T115" s="70"/>
      <c r="U115" s="70"/>
    </row>
    <row r="116" spans="1:21" s="2" customFormat="1" ht="12.75" customHeight="1">
      <c r="A116" s="124"/>
      <c r="B116" s="457" t="s">
        <v>313</v>
      </c>
      <c r="C116" s="430"/>
      <c r="D116" s="398">
        <v>88894</v>
      </c>
      <c r="E116" s="397">
        <v>108000</v>
      </c>
      <c r="F116" s="397">
        <v>93886</v>
      </c>
      <c r="G116" s="398">
        <v>113300</v>
      </c>
      <c r="H116" s="398">
        <v>49601</v>
      </c>
      <c r="I116" s="398"/>
      <c r="J116" s="602">
        <v>115000</v>
      </c>
      <c r="K116" s="4"/>
      <c r="L116" s="30"/>
      <c r="P116" s="358"/>
      <c r="R116" s="70"/>
      <c r="S116" s="134"/>
      <c r="T116" s="70"/>
      <c r="U116" s="70"/>
    </row>
    <row r="117" spans="1:21" s="2" customFormat="1" ht="12.75" customHeight="1">
      <c r="A117" s="124"/>
      <c r="B117" s="458" t="s">
        <v>1</v>
      </c>
      <c r="C117" s="430">
        <v>25000</v>
      </c>
      <c r="D117" s="398">
        <v>0</v>
      </c>
      <c r="E117" s="595">
        <f>C117</f>
        <v>25000</v>
      </c>
      <c r="F117" s="595">
        <v>960</v>
      </c>
      <c r="G117" s="398">
        <v>20000</v>
      </c>
      <c r="H117" s="398">
        <v>0</v>
      </c>
      <c r="I117" s="398"/>
      <c r="J117" s="602">
        <f>20000-5000</f>
        <v>15000</v>
      </c>
      <c r="K117" s="4"/>
      <c r="L117" s="30"/>
      <c r="P117" s="357"/>
      <c r="R117" s="70"/>
      <c r="S117" s="134"/>
      <c r="T117" s="70"/>
      <c r="U117" s="70"/>
    </row>
    <row r="118" spans="1:21" s="2" customFormat="1" ht="12.75" customHeight="1">
      <c r="A118" s="124"/>
      <c r="B118" s="458" t="s">
        <v>197</v>
      </c>
      <c r="C118" s="430"/>
      <c r="D118" s="398">
        <v>5857</v>
      </c>
      <c r="E118" s="595">
        <v>197957</v>
      </c>
      <c r="F118" s="595">
        <v>197957</v>
      </c>
      <c r="G118" s="398"/>
      <c r="H118" s="398"/>
      <c r="I118" s="399"/>
      <c r="J118" s="602"/>
      <c r="K118" s="4"/>
      <c r="L118" s="30"/>
      <c r="P118" s="357"/>
      <c r="R118" s="70"/>
      <c r="S118" s="134"/>
      <c r="T118" s="70"/>
      <c r="U118" s="70"/>
    </row>
    <row r="119" spans="1:21" s="2" customFormat="1" ht="12.75" customHeight="1">
      <c r="A119" s="124"/>
      <c r="B119" s="458" t="s">
        <v>198</v>
      </c>
      <c r="C119" s="430"/>
      <c r="D119" s="398"/>
      <c r="E119" s="595"/>
      <c r="F119" s="595">
        <v>12364</v>
      </c>
      <c r="G119" s="398">
        <v>24960</v>
      </c>
      <c r="H119" s="398">
        <v>10358</v>
      </c>
      <c r="I119" s="399"/>
      <c r="J119" s="602">
        <f>3275+1194+1943+1429+593+589+589+589+589+589+589+589+589+589+589+589+589+248+124+454+454+454+454+556+556+184+184+539+108+120+2011+311+311+311+311+311+311+311+311+311+19</f>
        <v>24766</v>
      </c>
      <c r="K119" s="4"/>
      <c r="L119" s="30"/>
      <c r="P119" s="357"/>
      <c r="R119" s="70"/>
      <c r="S119" s="134"/>
      <c r="T119" s="70"/>
      <c r="U119" s="70"/>
    </row>
    <row r="120" spans="1:21" s="2" customFormat="1" ht="12.75" customHeight="1">
      <c r="A120" s="124"/>
      <c r="B120" s="458" t="s">
        <v>8</v>
      </c>
      <c r="C120" s="430">
        <v>6000</v>
      </c>
      <c r="D120" s="398">
        <v>25</v>
      </c>
      <c r="E120" s="595">
        <f>C120</f>
        <v>6000</v>
      </c>
      <c r="F120" s="595">
        <v>17800</v>
      </c>
      <c r="G120" s="398">
        <v>6200</v>
      </c>
      <c r="H120" s="398">
        <v>3011</v>
      </c>
      <c r="I120" s="398"/>
      <c r="J120" s="602">
        <v>7000</v>
      </c>
      <c r="K120" s="4"/>
      <c r="L120" s="26"/>
      <c r="P120" s="357"/>
      <c r="R120" s="70"/>
      <c r="S120" s="134"/>
      <c r="T120" s="70"/>
      <c r="U120" s="70"/>
    </row>
    <row r="121" spans="1:21" s="2" customFormat="1" ht="12.75" customHeight="1">
      <c r="A121" s="124"/>
      <c r="B121" s="458" t="s">
        <v>16</v>
      </c>
      <c r="C121" s="430">
        <v>95000</v>
      </c>
      <c r="D121" s="398">
        <v>56433</v>
      </c>
      <c r="E121" s="595">
        <v>235800</v>
      </c>
      <c r="F121" s="595">
        <v>205254</v>
      </c>
      <c r="G121" s="398">
        <v>280000</v>
      </c>
      <c r="H121" s="398">
        <v>34311</v>
      </c>
      <c r="I121" s="398"/>
      <c r="J121" s="602">
        <v>100000</v>
      </c>
      <c r="K121" s="4"/>
      <c r="L121" s="30"/>
      <c r="P121" s="357"/>
      <c r="R121" s="70"/>
      <c r="S121" s="134"/>
      <c r="T121" s="70"/>
      <c r="U121" s="70"/>
    </row>
    <row r="122" spans="1:21" s="2" customFormat="1" ht="12.75" customHeight="1" thickBot="1">
      <c r="A122" s="124"/>
      <c r="B122" s="549" t="s">
        <v>10</v>
      </c>
      <c r="C122" s="550">
        <v>319340</v>
      </c>
      <c r="D122" s="551">
        <v>287854</v>
      </c>
      <c r="E122" s="552">
        <v>319826</v>
      </c>
      <c r="F122" s="552">
        <v>298092</v>
      </c>
      <c r="G122" s="551">
        <v>442295</v>
      </c>
      <c r="H122" s="551">
        <v>143190</v>
      </c>
      <c r="I122" s="551"/>
      <c r="J122" s="612">
        <v>556398</v>
      </c>
      <c r="K122" s="4"/>
      <c r="L122" s="30"/>
      <c r="P122" s="359"/>
      <c r="Q122" s="70"/>
      <c r="R122" s="70"/>
      <c r="S122" s="500"/>
      <c r="T122" s="70"/>
      <c r="U122" s="70"/>
    </row>
    <row r="123" spans="1:21" s="11" customFormat="1" ht="14.25" thickBot="1">
      <c r="A123" s="124"/>
      <c r="B123" s="460" t="s">
        <v>2</v>
      </c>
      <c r="C123" s="373">
        <f aca="true" t="shared" si="7" ref="C123:J123">SUM(C114:C122)</f>
        <v>614340</v>
      </c>
      <c r="D123" s="360">
        <f t="shared" si="7"/>
        <v>501486</v>
      </c>
      <c r="E123" s="371">
        <f t="shared" si="7"/>
        <v>953583</v>
      </c>
      <c r="F123" s="371">
        <f t="shared" si="7"/>
        <v>883966</v>
      </c>
      <c r="G123" s="360">
        <f t="shared" si="7"/>
        <v>951155</v>
      </c>
      <c r="H123" s="360">
        <f t="shared" si="7"/>
        <v>274818</v>
      </c>
      <c r="I123" s="372">
        <f t="shared" si="7"/>
        <v>0</v>
      </c>
      <c r="J123" s="384">
        <f t="shared" si="7"/>
        <v>881164</v>
      </c>
      <c r="K123" s="56"/>
      <c r="L123" s="35"/>
      <c r="P123" s="124"/>
      <c r="Q123" s="16"/>
      <c r="R123" s="52"/>
      <c r="S123" s="500"/>
      <c r="T123" s="52"/>
      <c r="U123" s="52"/>
    </row>
    <row r="124" spans="2:21" ht="15.75" thickBot="1">
      <c r="B124" s="3"/>
      <c r="C124" s="17"/>
      <c r="D124" s="17"/>
      <c r="E124" s="22"/>
      <c r="F124" s="22"/>
      <c r="G124" s="362"/>
      <c r="H124" s="362"/>
      <c r="I124" s="362"/>
      <c r="J124" s="348"/>
      <c r="K124" s="15"/>
      <c r="L124" s="18"/>
      <c r="Q124" s="16"/>
      <c r="R124" s="29"/>
      <c r="T124" s="29"/>
      <c r="U124" s="29"/>
    </row>
    <row r="125" spans="2:21" ht="16.5" thickBot="1">
      <c r="B125" s="89" t="s">
        <v>3</v>
      </c>
      <c r="C125" s="17"/>
      <c r="D125" s="17"/>
      <c r="E125" s="22"/>
      <c r="F125" s="22"/>
      <c r="G125" s="362"/>
      <c r="H125" s="362"/>
      <c r="I125" s="362"/>
      <c r="J125" s="609"/>
      <c r="K125" s="32"/>
      <c r="L125" s="18"/>
      <c r="Q125" s="16"/>
      <c r="R125" s="29"/>
      <c r="T125" s="29"/>
      <c r="U125" s="29"/>
    </row>
    <row r="126" spans="2:21" ht="12.75" customHeight="1">
      <c r="B126" s="642" t="s">
        <v>11</v>
      </c>
      <c r="C126" s="452">
        <v>21000</v>
      </c>
      <c r="D126" s="437">
        <v>68390</v>
      </c>
      <c r="E126" s="448">
        <f>C126</f>
        <v>21000</v>
      </c>
      <c r="F126" s="448">
        <v>63713</v>
      </c>
      <c r="G126" s="437">
        <v>25000</v>
      </c>
      <c r="H126" s="437">
        <v>10525</v>
      </c>
      <c r="I126" s="437"/>
      <c r="J126" s="605">
        <v>40000</v>
      </c>
      <c r="K126" s="30"/>
      <c r="L126" s="30"/>
      <c r="P126" s="356"/>
      <c r="Q126" s="16"/>
      <c r="R126" s="29"/>
      <c r="T126" s="29"/>
      <c r="U126" s="29"/>
    </row>
    <row r="127" spans="2:21" ht="12.75" customHeight="1" hidden="1">
      <c r="B127" s="643" t="s">
        <v>199</v>
      </c>
      <c r="C127" s="430"/>
      <c r="D127" s="398"/>
      <c r="E127" s="397"/>
      <c r="F127" s="397"/>
      <c r="G127" s="398"/>
      <c r="H127" s="398"/>
      <c r="I127" s="399"/>
      <c r="J127" s="602"/>
      <c r="K127" s="30"/>
      <c r="L127" s="30"/>
      <c r="P127" s="357"/>
      <c r="Q127" s="16"/>
      <c r="R127" s="29"/>
      <c r="T127" s="29"/>
      <c r="U127" s="29"/>
    </row>
    <row r="128" spans="2:21" ht="12.75" customHeight="1">
      <c r="B128" s="643" t="s">
        <v>200</v>
      </c>
      <c r="C128" s="430"/>
      <c r="D128" s="398"/>
      <c r="E128" s="595">
        <v>197957</v>
      </c>
      <c r="F128" s="595">
        <v>197957</v>
      </c>
      <c r="G128" s="398"/>
      <c r="H128" s="398"/>
      <c r="I128" s="399"/>
      <c r="J128" s="602"/>
      <c r="K128" s="30"/>
      <c r="L128" s="30"/>
      <c r="P128" s="357"/>
      <c r="Q128" s="16"/>
      <c r="R128" s="29"/>
      <c r="T128" s="29"/>
      <c r="U128" s="29"/>
    </row>
    <row r="129" spans="2:21" ht="14.25" thickBot="1">
      <c r="B129" s="553" t="s">
        <v>4</v>
      </c>
      <c r="C129" s="554">
        <v>593340</v>
      </c>
      <c r="D129" s="555">
        <v>566000</v>
      </c>
      <c r="E129" s="556">
        <f>C129+486+140800</f>
        <v>734626</v>
      </c>
      <c r="F129" s="556">
        <v>734626</v>
      </c>
      <c r="G129" s="555">
        <v>926155</v>
      </c>
      <c r="H129" s="555">
        <v>380595</v>
      </c>
      <c r="I129" s="555"/>
      <c r="J129" s="613">
        <f>1038164-85000-100000-12000</f>
        <v>841164</v>
      </c>
      <c r="K129" s="54"/>
      <c r="L129" s="72"/>
      <c r="P129" s="359"/>
      <c r="Q129" s="28"/>
      <c r="R129" s="29"/>
      <c r="T129" s="29"/>
      <c r="U129" s="29"/>
    </row>
    <row r="130" spans="1:21" s="11" customFormat="1" ht="14.25" thickBot="1">
      <c r="A130" s="124"/>
      <c r="B130" s="460" t="s">
        <v>5</v>
      </c>
      <c r="C130" s="373">
        <f aca="true" t="shared" si="8" ref="C130:J130">SUM(C126:C129)</f>
        <v>614340</v>
      </c>
      <c r="D130" s="360">
        <f t="shared" si="8"/>
        <v>634390</v>
      </c>
      <c r="E130" s="371">
        <f t="shared" si="8"/>
        <v>953583</v>
      </c>
      <c r="F130" s="371">
        <f t="shared" si="8"/>
        <v>996296</v>
      </c>
      <c r="G130" s="360">
        <f t="shared" si="8"/>
        <v>951155</v>
      </c>
      <c r="H130" s="360">
        <f t="shared" si="8"/>
        <v>391120</v>
      </c>
      <c r="I130" s="372">
        <f t="shared" si="8"/>
        <v>0</v>
      </c>
      <c r="J130" s="384">
        <f t="shared" si="8"/>
        <v>881164</v>
      </c>
      <c r="K130" s="35"/>
      <c r="L130" s="56"/>
      <c r="P130" s="124"/>
      <c r="Q130" s="16"/>
      <c r="R130" s="52"/>
      <c r="S130" s="500"/>
      <c r="T130" s="52"/>
      <c r="U130" s="52"/>
    </row>
    <row r="131" spans="2:21" ht="7.5" customHeight="1" thickBot="1">
      <c r="B131" s="20"/>
      <c r="D131" s="362"/>
      <c r="G131" s="362"/>
      <c r="H131" s="362"/>
      <c r="I131" s="362"/>
      <c r="Q131" s="16"/>
      <c r="R131" s="29"/>
      <c r="T131" s="29"/>
      <c r="U131" s="29"/>
    </row>
    <row r="132" spans="2:21" ht="15" thickBot="1" thickTop="1">
      <c r="B132" s="340" t="s">
        <v>168</v>
      </c>
      <c r="C132" s="341"/>
      <c r="D132" s="343">
        <f aca="true" t="shared" si="9" ref="D132:J132">D130-D123</f>
        <v>132904</v>
      </c>
      <c r="E132" s="343">
        <f t="shared" si="9"/>
        <v>0</v>
      </c>
      <c r="F132" s="343">
        <f t="shared" si="9"/>
        <v>112330</v>
      </c>
      <c r="G132" s="343">
        <f t="shared" si="9"/>
        <v>0</v>
      </c>
      <c r="H132" s="343">
        <f t="shared" si="9"/>
        <v>116302</v>
      </c>
      <c r="I132" s="343">
        <f t="shared" si="9"/>
        <v>0</v>
      </c>
      <c r="J132" s="610">
        <f t="shared" si="9"/>
        <v>0</v>
      </c>
      <c r="Q132" s="16"/>
      <c r="R132" s="29"/>
      <c r="T132" s="29"/>
      <c r="U132" s="29"/>
    </row>
    <row r="133" spans="2:21" ht="14.25" thickTop="1">
      <c r="B133" s="20"/>
      <c r="G133" s="362"/>
      <c r="H133" s="362"/>
      <c r="I133" s="362"/>
      <c r="Q133" s="16"/>
      <c r="R133" s="29"/>
      <c r="T133" s="29"/>
      <c r="U133" s="29"/>
    </row>
    <row r="134" spans="2:21" ht="18" thickBot="1">
      <c r="B134" s="875" t="s">
        <v>15</v>
      </c>
      <c r="C134" s="875"/>
      <c r="D134" s="875"/>
      <c r="E134" s="875"/>
      <c r="F134" s="875"/>
      <c r="G134" s="875"/>
      <c r="H134" s="875"/>
      <c r="I134" s="875"/>
      <c r="J134" s="875"/>
      <c r="K134" s="875"/>
      <c r="L134" s="875"/>
      <c r="M134" s="875"/>
      <c r="N134" s="875"/>
      <c r="O134" s="875"/>
      <c r="Q134" s="16"/>
      <c r="R134" s="29"/>
      <c r="T134" s="29"/>
      <c r="U134" s="29"/>
    </row>
    <row r="135" spans="2:21" ht="15">
      <c r="B135" s="454" t="s">
        <v>0</v>
      </c>
      <c r="C135" s="93" t="s">
        <v>299</v>
      </c>
      <c r="D135" s="350" t="s">
        <v>137</v>
      </c>
      <c r="E135" s="93" t="s">
        <v>299</v>
      </c>
      <c r="F135" s="350" t="s">
        <v>137</v>
      </c>
      <c r="G135" s="93" t="s">
        <v>299</v>
      </c>
      <c r="H135" s="350" t="s">
        <v>338</v>
      </c>
      <c r="I135" s="383" t="s">
        <v>302</v>
      </c>
      <c r="J135" s="598" t="s">
        <v>165</v>
      </c>
      <c r="K135" s="9"/>
      <c r="L135" s="36"/>
      <c r="M135" s="1"/>
      <c r="N135" s="1"/>
      <c r="O135" s="41"/>
      <c r="P135" s="351" t="s">
        <v>136</v>
      </c>
      <c r="Q135" s="16"/>
      <c r="R135" s="29"/>
      <c r="T135" s="29"/>
      <c r="U135" s="29"/>
    </row>
    <row r="136" spans="2:21" ht="15.75" thickBot="1">
      <c r="B136" s="470"/>
      <c r="C136" s="539">
        <v>2015</v>
      </c>
      <c r="D136" s="353">
        <v>2015</v>
      </c>
      <c r="E136" s="540">
        <v>2016</v>
      </c>
      <c r="F136" s="540">
        <v>2016</v>
      </c>
      <c r="G136" s="353">
        <v>2017</v>
      </c>
      <c r="H136" s="418" t="s">
        <v>339</v>
      </c>
      <c r="I136" s="418" t="s">
        <v>303</v>
      </c>
      <c r="J136" s="599" t="s">
        <v>300</v>
      </c>
      <c r="K136" s="9"/>
      <c r="L136" s="36"/>
      <c r="M136" s="1"/>
      <c r="N136" s="1"/>
      <c r="O136" s="41"/>
      <c r="P136" s="355"/>
      <c r="Q136" s="16"/>
      <c r="R136" s="29"/>
      <c r="T136" s="29"/>
      <c r="U136" s="29"/>
    </row>
    <row r="137" spans="2:21" ht="13.5">
      <c r="B137" s="471" t="s">
        <v>315</v>
      </c>
      <c r="C137" s="467">
        <v>95000</v>
      </c>
      <c r="D137" s="437">
        <v>47883</v>
      </c>
      <c r="E137" s="448">
        <v>60000</v>
      </c>
      <c r="F137" s="448">
        <v>42131</v>
      </c>
      <c r="G137" s="437">
        <v>60000</v>
      </c>
      <c r="H137" s="437">
        <v>33283</v>
      </c>
      <c r="I137" s="437"/>
      <c r="J137" s="605">
        <v>60000</v>
      </c>
      <c r="K137" s="4"/>
      <c r="L137" s="4"/>
      <c r="M137" s="31"/>
      <c r="N137" s="31"/>
      <c r="O137" s="10"/>
      <c r="P137" s="356"/>
      <c r="Q137" s="16"/>
      <c r="R137" s="29"/>
      <c r="T137" s="29"/>
      <c r="U137" s="29"/>
    </row>
    <row r="138" spans="2:21" ht="13.5">
      <c r="B138" s="472" t="s">
        <v>314</v>
      </c>
      <c r="C138" s="468"/>
      <c r="D138" s="398">
        <v>2902</v>
      </c>
      <c r="E138" s="397">
        <v>5000</v>
      </c>
      <c r="F138" s="397">
        <v>4116</v>
      </c>
      <c r="G138" s="398">
        <v>5000</v>
      </c>
      <c r="H138" s="398">
        <v>1152</v>
      </c>
      <c r="I138" s="398"/>
      <c r="J138" s="602">
        <v>5000</v>
      </c>
      <c r="K138" s="4"/>
      <c r="L138" s="4"/>
      <c r="M138" s="31"/>
      <c r="N138" s="31"/>
      <c r="O138" s="10"/>
      <c r="P138" s="357"/>
      <c r="Q138" s="16"/>
      <c r="R138" s="29"/>
      <c r="T138" s="29"/>
      <c r="U138" s="29"/>
    </row>
    <row r="139" spans="2:21" ht="13.5">
      <c r="B139" s="478" t="s">
        <v>313</v>
      </c>
      <c r="C139" s="479"/>
      <c r="D139" s="423">
        <v>13904</v>
      </c>
      <c r="E139" s="422">
        <v>30000</v>
      </c>
      <c r="F139" s="422">
        <v>12739</v>
      </c>
      <c r="G139" s="423">
        <v>20000</v>
      </c>
      <c r="H139" s="423">
        <v>7156</v>
      </c>
      <c r="I139" s="423"/>
      <c r="J139" s="614">
        <v>20000</v>
      </c>
      <c r="K139" s="4"/>
      <c r="L139" s="4"/>
      <c r="M139" s="31"/>
      <c r="N139" s="31"/>
      <c r="O139" s="10"/>
      <c r="P139" s="357"/>
      <c r="Q139" s="16"/>
      <c r="R139" s="29"/>
      <c r="T139" s="29"/>
      <c r="U139" s="29"/>
    </row>
    <row r="140" spans="2:21" ht="13.5">
      <c r="B140" s="476" t="s">
        <v>1</v>
      </c>
      <c r="C140" s="477">
        <v>25000</v>
      </c>
      <c r="D140" s="411">
        <v>800</v>
      </c>
      <c r="E140" s="410">
        <f>C140</f>
        <v>25000</v>
      </c>
      <c r="F140" s="410">
        <v>1990</v>
      </c>
      <c r="G140" s="411">
        <v>10000</v>
      </c>
      <c r="H140" s="411">
        <v>0</v>
      </c>
      <c r="I140" s="411"/>
      <c r="J140" s="601">
        <f>10000-5000</f>
        <v>5000</v>
      </c>
      <c r="K140" s="4"/>
      <c r="L140" s="4"/>
      <c r="M140" s="31"/>
      <c r="N140" s="31"/>
      <c r="O140" s="10"/>
      <c r="P140" s="357"/>
      <c r="Q140" s="16"/>
      <c r="R140" s="29"/>
      <c r="T140" s="29"/>
      <c r="U140" s="29"/>
    </row>
    <row r="141" spans="2:21" ht="13.5">
      <c r="B141" s="473" t="s">
        <v>8</v>
      </c>
      <c r="C141" s="468">
        <v>36000</v>
      </c>
      <c r="D141" s="398">
        <v>39835</v>
      </c>
      <c r="E141" s="397">
        <f aca="true" t="shared" si="10" ref="E141:E148">C141</f>
        <v>36000</v>
      </c>
      <c r="F141" s="397">
        <v>80846</v>
      </c>
      <c r="G141" s="398">
        <v>50000</v>
      </c>
      <c r="H141" s="398">
        <v>5787</v>
      </c>
      <c r="I141" s="398"/>
      <c r="J141" s="602">
        <v>50000</v>
      </c>
      <c r="K141" s="4"/>
      <c r="L141" s="4"/>
      <c r="M141" s="31"/>
      <c r="N141" s="31"/>
      <c r="O141" s="10"/>
      <c r="P141" s="357"/>
      <c r="Q141" s="16"/>
      <c r="R141" s="29"/>
      <c r="T141" s="29"/>
      <c r="U141" s="29"/>
    </row>
    <row r="142" spans="2:21" ht="13.5">
      <c r="B142" s="473" t="s">
        <v>9</v>
      </c>
      <c r="C142" s="468">
        <v>1000</v>
      </c>
      <c r="D142" s="398">
        <v>94</v>
      </c>
      <c r="E142" s="397">
        <f t="shared" si="10"/>
        <v>1000</v>
      </c>
      <c r="F142" s="397">
        <v>346</v>
      </c>
      <c r="G142" s="398">
        <v>15000</v>
      </c>
      <c r="H142" s="398">
        <v>201</v>
      </c>
      <c r="I142" s="399"/>
      <c r="J142" s="602">
        <f>15000-5000</f>
        <v>10000</v>
      </c>
      <c r="K142" s="4"/>
      <c r="L142" s="4"/>
      <c r="M142" s="31"/>
      <c r="N142" s="31"/>
      <c r="O142" s="10"/>
      <c r="P142" s="357"/>
      <c r="Q142" s="16"/>
      <c r="R142" s="29"/>
      <c r="T142" s="29"/>
      <c r="U142" s="29"/>
    </row>
    <row r="143" spans="2:21" ht="13.5">
      <c r="B143" s="473" t="s">
        <v>16</v>
      </c>
      <c r="C143" s="468">
        <v>311000</v>
      </c>
      <c r="D143" s="398">
        <f>331542-68926+37020</f>
        <v>299636</v>
      </c>
      <c r="E143" s="397">
        <f t="shared" si="10"/>
        <v>311000</v>
      </c>
      <c r="F143" s="397">
        <v>140614</v>
      </c>
      <c r="G143" s="398">
        <v>250000</v>
      </c>
      <c r="H143" s="398">
        <v>17766</v>
      </c>
      <c r="I143" s="399"/>
      <c r="J143" s="602">
        <f>250000-50000</f>
        <v>200000</v>
      </c>
      <c r="K143" s="4"/>
      <c r="L143" s="4"/>
      <c r="M143" s="31"/>
      <c r="N143" s="31"/>
      <c r="O143" s="10"/>
      <c r="P143" s="357"/>
      <c r="Q143" s="124" t="s">
        <v>174</v>
      </c>
      <c r="R143" s="29"/>
      <c r="S143" s="516" t="s">
        <v>291</v>
      </c>
      <c r="T143" s="29"/>
      <c r="U143" s="29"/>
    </row>
    <row r="144" spans="2:21" ht="13.5">
      <c r="B144" s="473" t="s">
        <v>57</v>
      </c>
      <c r="C144" s="468">
        <v>2500</v>
      </c>
      <c r="D144" s="398">
        <v>2110</v>
      </c>
      <c r="E144" s="397">
        <f t="shared" si="10"/>
        <v>2500</v>
      </c>
      <c r="F144" s="397">
        <v>0</v>
      </c>
      <c r="G144" s="398"/>
      <c r="H144" s="398"/>
      <c r="I144" s="398"/>
      <c r="J144" s="602">
        <v>0</v>
      </c>
      <c r="K144" s="4"/>
      <c r="L144" s="4"/>
      <c r="M144" s="31"/>
      <c r="N144" s="31"/>
      <c r="O144" s="10"/>
      <c r="P144" s="357"/>
      <c r="Q144" s="53"/>
      <c r="R144" s="29"/>
      <c r="T144" s="29"/>
      <c r="U144" s="29"/>
    </row>
    <row r="145" spans="1:21" ht="13.5">
      <c r="A145" s="124">
        <v>1315</v>
      </c>
      <c r="B145" s="473" t="s">
        <v>59</v>
      </c>
      <c r="C145" s="468">
        <v>25000</v>
      </c>
      <c r="D145" s="398">
        <v>30675</v>
      </c>
      <c r="E145" s="397">
        <f t="shared" si="10"/>
        <v>25000</v>
      </c>
      <c r="F145" s="397">
        <v>3754</v>
      </c>
      <c r="G145" s="398">
        <v>66000</v>
      </c>
      <c r="H145" s="398">
        <v>14826</v>
      </c>
      <c r="I145" s="399"/>
      <c r="J145" s="602">
        <v>66000</v>
      </c>
      <c r="K145" s="4"/>
      <c r="L145" s="4"/>
      <c r="M145" s="31"/>
      <c r="N145" s="31"/>
      <c r="O145" s="10"/>
      <c r="P145" s="357" t="s">
        <v>145</v>
      </c>
      <c r="Q145" s="53">
        <f>J145</f>
        <v>66000</v>
      </c>
      <c r="R145" s="29"/>
      <c r="S145" s="515">
        <v>41000</v>
      </c>
      <c r="T145" s="29"/>
      <c r="U145" s="29"/>
    </row>
    <row r="146" spans="1:21" ht="13.5">
      <c r="A146" s="124">
        <v>1309</v>
      </c>
      <c r="B146" s="473" t="s">
        <v>223</v>
      </c>
      <c r="C146" s="468">
        <v>20000</v>
      </c>
      <c r="D146" s="398">
        <v>124373</v>
      </c>
      <c r="E146" s="397">
        <f t="shared" si="10"/>
        <v>20000</v>
      </c>
      <c r="F146" s="397">
        <v>127566</v>
      </c>
      <c r="G146" s="398">
        <v>135000</v>
      </c>
      <c r="H146" s="398">
        <v>38163</v>
      </c>
      <c r="I146" s="399"/>
      <c r="J146" s="602">
        <v>135000</v>
      </c>
      <c r="K146" s="4"/>
      <c r="L146" s="4"/>
      <c r="M146" s="31"/>
      <c r="N146" s="31"/>
      <c r="O146" s="10"/>
      <c r="P146" s="357" t="s">
        <v>148</v>
      </c>
      <c r="Q146" s="53">
        <f>J146</f>
        <v>135000</v>
      </c>
      <c r="R146" s="29"/>
      <c r="S146" s="515">
        <v>95000</v>
      </c>
      <c r="T146" s="29"/>
      <c r="U146" s="29"/>
    </row>
    <row r="147" spans="1:21" ht="13.5">
      <c r="A147" s="124">
        <v>1327</v>
      </c>
      <c r="B147" s="473" t="s">
        <v>203</v>
      </c>
      <c r="C147" s="468">
        <v>15000</v>
      </c>
      <c r="D147" s="398">
        <v>14748</v>
      </c>
      <c r="E147" s="397">
        <f t="shared" si="10"/>
        <v>15000</v>
      </c>
      <c r="F147" s="397">
        <v>15574</v>
      </c>
      <c r="G147" s="398">
        <v>20000</v>
      </c>
      <c r="H147" s="398">
        <v>1005</v>
      </c>
      <c r="I147" s="399"/>
      <c r="J147" s="602">
        <v>30000</v>
      </c>
      <c r="K147" s="4"/>
      <c r="L147" s="4"/>
      <c r="M147" s="31"/>
      <c r="N147" s="31"/>
      <c r="O147" s="10"/>
      <c r="P147" s="357" t="s">
        <v>144</v>
      </c>
      <c r="Q147" s="53">
        <f>J147</f>
        <v>30000</v>
      </c>
      <c r="R147" s="29"/>
      <c r="S147" s="515"/>
      <c r="T147" s="29"/>
      <c r="U147" s="29"/>
    </row>
    <row r="148" spans="1:21" ht="13.5">
      <c r="A148" s="124">
        <v>1317</v>
      </c>
      <c r="B148" s="473" t="s">
        <v>204</v>
      </c>
      <c r="C148" s="468">
        <v>30000</v>
      </c>
      <c r="D148" s="398"/>
      <c r="E148" s="397">
        <f t="shared" si="10"/>
        <v>30000</v>
      </c>
      <c r="F148" s="397">
        <v>39066</v>
      </c>
      <c r="G148" s="398">
        <v>32000</v>
      </c>
      <c r="H148" s="398">
        <v>0</v>
      </c>
      <c r="I148" s="399"/>
      <c r="J148" s="602">
        <v>32000</v>
      </c>
      <c r="K148" s="4"/>
      <c r="L148" s="4"/>
      <c r="M148" s="31"/>
      <c r="N148" s="31"/>
      <c r="O148" s="10"/>
      <c r="P148" s="357" t="s">
        <v>234</v>
      </c>
      <c r="Q148" s="53">
        <f>J148</f>
        <v>32000</v>
      </c>
      <c r="R148" s="29"/>
      <c r="S148" s="515">
        <v>12000</v>
      </c>
      <c r="T148" s="29"/>
      <c r="U148" s="29"/>
    </row>
    <row r="149" spans="2:21" ht="14.25" thickBot="1">
      <c r="B149" s="557" t="s">
        <v>10</v>
      </c>
      <c r="C149" s="558">
        <v>751129</v>
      </c>
      <c r="D149" s="551">
        <v>731469</v>
      </c>
      <c r="E149" s="552">
        <v>753477</v>
      </c>
      <c r="F149" s="552">
        <v>703845</v>
      </c>
      <c r="G149" s="551">
        <v>961688</v>
      </c>
      <c r="H149" s="551">
        <v>334787</v>
      </c>
      <c r="I149" s="551"/>
      <c r="J149" s="612">
        <v>1050442</v>
      </c>
      <c r="K149" s="4"/>
      <c r="L149" s="4"/>
      <c r="M149" s="31"/>
      <c r="N149" s="31"/>
      <c r="O149" s="10"/>
      <c r="P149" s="359"/>
      <c r="Q149" s="16"/>
      <c r="R149" s="29"/>
      <c r="S149" s="515"/>
      <c r="T149" s="29"/>
      <c r="U149" s="29"/>
    </row>
    <row r="150" spans="1:21" s="11" customFormat="1" ht="14.25" thickBot="1">
      <c r="A150" s="124"/>
      <c r="B150" s="475" t="s">
        <v>2</v>
      </c>
      <c r="C150" s="331">
        <f aca="true" t="shared" si="11" ref="C150:J150">SUM(C137:C149)</f>
        <v>1311629</v>
      </c>
      <c r="D150" s="365">
        <f t="shared" si="11"/>
        <v>1308429</v>
      </c>
      <c r="E150" s="77">
        <f t="shared" si="11"/>
        <v>1313977</v>
      </c>
      <c r="F150" s="77">
        <f t="shared" si="11"/>
        <v>1172587</v>
      </c>
      <c r="G150" s="365">
        <f t="shared" si="11"/>
        <v>1624688</v>
      </c>
      <c r="H150" s="365">
        <f t="shared" si="11"/>
        <v>454126</v>
      </c>
      <c r="I150" s="365">
        <f t="shared" si="11"/>
        <v>0</v>
      </c>
      <c r="J150" s="365">
        <f t="shared" si="11"/>
        <v>1663442</v>
      </c>
      <c r="K150" s="5"/>
      <c r="L150" s="85"/>
      <c r="M150" s="51"/>
      <c r="N150" s="51"/>
      <c r="O150" s="83"/>
      <c r="P150" s="124"/>
      <c r="Q150" s="511">
        <f>SUM(Q144:Q149)</f>
        <v>263000</v>
      </c>
      <c r="R150" s="52"/>
      <c r="S150" s="519">
        <f>SUM(S145:S149)</f>
        <v>148000</v>
      </c>
      <c r="T150" s="52"/>
      <c r="U150" s="52"/>
    </row>
    <row r="151" spans="2:21" ht="15.75" thickBot="1">
      <c r="B151" s="21"/>
      <c r="C151" s="23"/>
      <c r="D151" s="23"/>
      <c r="E151" s="22"/>
      <c r="F151" s="22"/>
      <c r="G151" s="362"/>
      <c r="H151" s="362"/>
      <c r="I151" s="362"/>
      <c r="K151" s="31"/>
      <c r="L151" s="31"/>
      <c r="M151" s="31"/>
      <c r="N151" s="31"/>
      <c r="O151" s="10"/>
      <c r="Q151" s="29"/>
      <c r="R151" s="29"/>
      <c r="T151" s="29"/>
      <c r="U151" s="29"/>
    </row>
    <row r="152" spans="2:21" ht="15.75" thickBot="1">
      <c r="B152" s="24" t="s">
        <v>3</v>
      </c>
      <c r="C152" s="23"/>
      <c r="D152" s="23"/>
      <c r="E152" s="22"/>
      <c r="F152" s="22"/>
      <c r="G152" s="362"/>
      <c r="H152" s="362"/>
      <c r="I152" s="362"/>
      <c r="K152" s="31"/>
      <c r="L152" s="31"/>
      <c r="M152" s="31"/>
      <c r="N152" s="31"/>
      <c r="O152" s="10"/>
      <c r="Q152" s="135"/>
      <c r="R152" s="29"/>
      <c r="T152" s="29"/>
      <c r="U152" s="29"/>
    </row>
    <row r="153" spans="2:21" ht="13.5">
      <c r="B153" s="471" t="s">
        <v>11</v>
      </c>
      <c r="C153" s="467">
        <v>265000</v>
      </c>
      <c r="D153" s="437">
        <v>421110</v>
      </c>
      <c r="E153" s="448">
        <f>C153</f>
        <v>265000</v>
      </c>
      <c r="F153" s="448">
        <v>272081</v>
      </c>
      <c r="G153" s="437">
        <v>345000</v>
      </c>
      <c r="H153" s="437">
        <v>73907</v>
      </c>
      <c r="I153" s="596"/>
      <c r="J153" s="605">
        <v>380000</v>
      </c>
      <c r="K153" s="4"/>
      <c r="L153" s="4"/>
      <c r="M153" s="31"/>
      <c r="N153" s="31"/>
      <c r="O153" s="10"/>
      <c r="P153" s="356"/>
      <c r="Q153" s="29"/>
      <c r="R153" s="16" t="s">
        <v>263</v>
      </c>
      <c r="T153" s="29"/>
      <c r="U153" s="29"/>
    </row>
    <row r="154" spans="2:21" ht="13.5" hidden="1">
      <c r="B154" s="476" t="s">
        <v>227</v>
      </c>
      <c r="C154" s="477"/>
      <c r="D154" s="411"/>
      <c r="E154" s="410"/>
      <c r="F154" s="410"/>
      <c r="G154" s="411"/>
      <c r="H154" s="411"/>
      <c r="I154" s="412"/>
      <c r="J154" s="601"/>
      <c r="K154" s="4"/>
      <c r="L154" s="4"/>
      <c r="M154" s="31"/>
      <c r="N154" s="31"/>
      <c r="O154" s="10"/>
      <c r="P154" s="414"/>
      <c r="Q154" s="29"/>
      <c r="R154" s="29"/>
      <c r="T154" s="29"/>
      <c r="U154" s="29"/>
    </row>
    <row r="155" spans="2:21" ht="13.5">
      <c r="B155" s="476" t="s">
        <v>12</v>
      </c>
      <c r="C155" s="477"/>
      <c r="D155" s="411"/>
      <c r="E155" s="410"/>
      <c r="F155" s="410">
        <v>27276</v>
      </c>
      <c r="G155" s="411"/>
      <c r="H155" s="411"/>
      <c r="I155" s="412"/>
      <c r="J155" s="601"/>
      <c r="K155" s="4"/>
      <c r="L155" s="4"/>
      <c r="M155" s="31"/>
      <c r="N155" s="31"/>
      <c r="O155" s="10"/>
      <c r="P155" s="414"/>
      <c r="Q155" s="29"/>
      <c r="R155" s="29"/>
      <c r="T155" s="29"/>
      <c r="U155" s="29"/>
    </row>
    <row r="156" spans="2:21" ht="13.5">
      <c r="B156" s="559" t="s">
        <v>4</v>
      </c>
      <c r="C156" s="560">
        <v>954129</v>
      </c>
      <c r="D156" s="543">
        <v>899000</v>
      </c>
      <c r="E156" s="544">
        <v>956477</v>
      </c>
      <c r="F156" s="544">
        <v>956477</v>
      </c>
      <c r="G156" s="543">
        <v>1174688</v>
      </c>
      <c r="H156" s="543">
        <v>470951</v>
      </c>
      <c r="I156" s="543"/>
      <c r="J156" s="606">
        <v>1168442</v>
      </c>
      <c r="K156" s="4"/>
      <c r="L156" s="4"/>
      <c r="M156" s="31"/>
      <c r="N156" s="31"/>
      <c r="O156" s="10"/>
      <c r="P156" s="357"/>
      <c r="Q156" s="29"/>
      <c r="R156" s="29"/>
      <c r="T156" s="29"/>
      <c r="U156" s="29"/>
    </row>
    <row r="157" spans="2:21" ht="12.75">
      <c r="B157" s="574" t="s">
        <v>60</v>
      </c>
      <c r="C157" s="575">
        <v>2500</v>
      </c>
      <c r="D157" s="565">
        <v>2500</v>
      </c>
      <c r="E157" s="566">
        <f>C157</f>
        <v>2500</v>
      </c>
      <c r="F157" s="566">
        <v>2500</v>
      </c>
      <c r="G157" s="399"/>
      <c r="H157" s="399"/>
      <c r="I157" s="399"/>
      <c r="J157" s="615"/>
      <c r="K157" s="4"/>
      <c r="L157" s="4"/>
      <c r="M157" s="31"/>
      <c r="N157" s="31"/>
      <c r="O157" s="10"/>
      <c r="P157" s="357"/>
      <c r="Q157" s="29"/>
      <c r="R157" s="29"/>
      <c r="T157" s="29"/>
      <c r="U157" s="29"/>
    </row>
    <row r="158" spans="2:21" ht="13.5">
      <c r="B158" s="574" t="s">
        <v>329</v>
      </c>
      <c r="C158" s="575">
        <v>20000</v>
      </c>
      <c r="D158" s="565">
        <v>20000</v>
      </c>
      <c r="E158" s="566">
        <f>C158</f>
        <v>20000</v>
      </c>
      <c r="F158" s="566">
        <v>20000</v>
      </c>
      <c r="G158" s="565">
        <v>40000</v>
      </c>
      <c r="H158" s="565"/>
      <c r="I158" s="565"/>
      <c r="J158" s="608">
        <v>40000</v>
      </c>
      <c r="K158" s="4"/>
      <c r="L158" s="4"/>
      <c r="M158" s="31"/>
      <c r="N158" s="31"/>
      <c r="O158" s="10"/>
      <c r="P158" s="357"/>
      <c r="Q158" s="29"/>
      <c r="R158" s="16">
        <f>J158</f>
        <v>40000</v>
      </c>
      <c r="T158" s="29"/>
      <c r="U158" s="29"/>
    </row>
    <row r="159" spans="2:21" ht="13.5">
      <c r="B159" s="574" t="s">
        <v>330</v>
      </c>
      <c r="C159" s="575">
        <v>25000</v>
      </c>
      <c r="D159" s="565">
        <v>25000</v>
      </c>
      <c r="E159" s="566">
        <f>C159</f>
        <v>25000</v>
      </c>
      <c r="F159" s="566">
        <v>25000</v>
      </c>
      <c r="G159" s="565">
        <v>25000</v>
      </c>
      <c r="H159" s="565"/>
      <c r="I159" s="565"/>
      <c r="J159" s="608">
        <v>25000</v>
      </c>
      <c r="K159" s="4"/>
      <c r="L159" s="4"/>
      <c r="M159" s="31"/>
      <c r="N159" s="31"/>
      <c r="O159" s="10"/>
      <c r="P159" s="357"/>
      <c r="Q159" s="29"/>
      <c r="R159" s="16">
        <f>J159</f>
        <v>25000</v>
      </c>
      <c r="T159" s="29"/>
      <c r="U159" s="29"/>
    </row>
    <row r="160" spans="2:21" ht="13.5">
      <c r="B160" s="574" t="s">
        <v>205</v>
      </c>
      <c r="C160" s="575"/>
      <c r="D160" s="565">
        <v>80000</v>
      </c>
      <c r="E160" s="439"/>
      <c r="F160" s="439"/>
      <c r="G160" s="399"/>
      <c r="H160" s="399"/>
      <c r="I160" s="399"/>
      <c r="J160" s="615"/>
      <c r="K160" s="4"/>
      <c r="L160" s="4"/>
      <c r="M160" s="31"/>
      <c r="N160" s="31"/>
      <c r="O160" s="10"/>
      <c r="P160" s="357"/>
      <c r="Q160" s="29"/>
      <c r="R160" s="16"/>
      <c r="T160" s="29"/>
      <c r="U160" s="29"/>
    </row>
    <row r="161" spans="2:21" ht="13.5">
      <c r="B161" s="574" t="s">
        <v>331</v>
      </c>
      <c r="C161" s="575">
        <v>15000</v>
      </c>
      <c r="D161" s="565" t="s">
        <v>207</v>
      </c>
      <c r="E161" s="566">
        <f>C161</f>
        <v>15000</v>
      </c>
      <c r="F161" s="566">
        <v>15000</v>
      </c>
      <c r="G161" s="565">
        <v>20000</v>
      </c>
      <c r="H161" s="565"/>
      <c r="I161" s="565"/>
      <c r="J161" s="608">
        <v>30000</v>
      </c>
      <c r="K161" s="4"/>
      <c r="L161" s="4"/>
      <c r="M161" s="31"/>
      <c r="N161" s="31"/>
      <c r="O161" s="10"/>
      <c r="P161" s="357"/>
      <c r="Q161" s="29"/>
      <c r="R161" s="16">
        <f>J161</f>
        <v>30000</v>
      </c>
      <c r="T161" s="29"/>
      <c r="U161" s="29"/>
    </row>
    <row r="162" spans="2:21" ht="13.5">
      <c r="B162" s="572" t="s">
        <v>332</v>
      </c>
      <c r="C162" s="573">
        <v>30000</v>
      </c>
      <c r="D162" s="565"/>
      <c r="E162" s="566">
        <f>C162</f>
        <v>30000</v>
      </c>
      <c r="F162" s="566">
        <v>30000</v>
      </c>
      <c r="G162" s="565">
        <v>20000</v>
      </c>
      <c r="H162" s="565"/>
      <c r="I162" s="565"/>
      <c r="J162" s="608">
        <v>20000</v>
      </c>
      <c r="K162" s="4"/>
      <c r="L162" s="4"/>
      <c r="M162" s="31"/>
      <c r="N162" s="31"/>
      <c r="O162" s="10"/>
      <c r="P162" s="357"/>
      <c r="Q162" s="29"/>
      <c r="R162" s="16">
        <f>J162</f>
        <v>20000</v>
      </c>
      <c r="T162" s="29"/>
      <c r="U162" s="29"/>
    </row>
    <row r="163" spans="2:21" ht="14.25" thickBot="1">
      <c r="B163" s="523" t="s">
        <v>209</v>
      </c>
      <c r="C163" s="524"/>
      <c r="D163" s="408">
        <v>12500</v>
      </c>
      <c r="E163" s="482"/>
      <c r="F163" s="482"/>
      <c r="G163" s="408"/>
      <c r="H163" s="408"/>
      <c r="I163" s="408"/>
      <c r="J163" s="603"/>
      <c r="K163" s="4"/>
      <c r="L163" s="4"/>
      <c r="M163" s="31"/>
      <c r="N163" s="31"/>
      <c r="O163" s="10"/>
      <c r="P163" s="359"/>
      <c r="T163" s="29"/>
      <c r="U163" s="29"/>
    </row>
    <row r="164" spans="1:21" s="11" customFormat="1" ht="14.25" thickBot="1">
      <c r="A164" s="124"/>
      <c r="B164" s="490" t="s">
        <v>5</v>
      </c>
      <c r="C164" s="173">
        <f aca="true" t="shared" si="12" ref="C164:J164">SUM(C153:C163)</f>
        <v>1311629</v>
      </c>
      <c r="D164" s="360">
        <f t="shared" si="12"/>
        <v>1460110</v>
      </c>
      <c r="E164" s="149">
        <f t="shared" si="12"/>
        <v>1313977</v>
      </c>
      <c r="F164" s="149">
        <f t="shared" si="12"/>
        <v>1348334</v>
      </c>
      <c r="G164" s="360">
        <f t="shared" si="12"/>
        <v>1624688</v>
      </c>
      <c r="H164" s="360">
        <f t="shared" si="12"/>
        <v>544858</v>
      </c>
      <c r="I164" s="360">
        <f t="shared" si="12"/>
        <v>0</v>
      </c>
      <c r="J164" s="360">
        <f t="shared" si="12"/>
        <v>1663442</v>
      </c>
      <c r="K164" s="51"/>
      <c r="L164" s="85"/>
      <c r="M164" s="51"/>
      <c r="N164" s="51"/>
      <c r="O164" s="83"/>
      <c r="P164" s="124"/>
      <c r="R164" s="510">
        <f>SUM(R158:R163)</f>
        <v>115000</v>
      </c>
      <c r="S164" s="500"/>
      <c r="T164" s="52"/>
      <c r="U164" s="52"/>
    </row>
    <row r="165" spans="1:21" s="11" customFormat="1" ht="9" customHeight="1" thickBot="1">
      <c r="A165" s="124"/>
      <c r="B165" s="137"/>
      <c r="C165" s="51"/>
      <c r="D165" s="51"/>
      <c r="E165" s="5"/>
      <c r="F165" s="5"/>
      <c r="G165" s="367"/>
      <c r="H165" s="367"/>
      <c r="I165" s="367"/>
      <c r="J165" s="609"/>
      <c r="K165" s="51"/>
      <c r="L165" s="85"/>
      <c r="M165" s="51"/>
      <c r="N165" s="51"/>
      <c r="O165" s="83"/>
      <c r="P165" s="124"/>
      <c r="S165" s="500"/>
      <c r="T165" s="52"/>
      <c r="U165" s="52"/>
    </row>
    <row r="166" spans="1:21" s="11" customFormat="1" ht="15" thickBot="1" thickTop="1">
      <c r="A166" s="124"/>
      <c r="B166" s="340" t="s">
        <v>169</v>
      </c>
      <c r="C166" s="341"/>
      <c r="D166" s="343">
        <f aca="true" t="shared" si="13" ref="D166:J166">D164-D150</f>
        <v>151681</v>
      </c>
      <c r="E166" s="343">
        <f t="shared" si="13"/>
        <v>0</v>
      </c>
      <c r="F166" s="343">
        <f t="shared" si="13"/>
        <v>175747</v>
      </c>
      <c r="G166" s="343">
        <f t="shared" si="13"/>
        <v>0</v>
      </c>
      <c r="H166" s="343">
        <f t="shared" si="13"/>
        <v>90732</v>
      </c>
      <c r="I166" s="343">
        <f t="shared" si="13"/>
        <v>0</v>
      </c>
      <c r="J166" s="610">
        <f t="shared" si="13"/>
        <v>0</v>
      </c>
      <c r="K166" s="51"/>
      <c r="L166" s="85"/>
      <c r="M166" s="51"/>
      <c r="N166" s="51"/>
      <c r="O166" s="83"/>
      <c r="P166" s="124"/>
      <c r="S166" s="500"/>
      <c r="T166" s="52"/>
      <c r="U166" s="52"/>
    </row>
    <row r="167" spans="1:21" s="11" customFormat="1" ht="14.25" thickTop="1">
      <c r="A167" s="124"/>
      <c r="B167" s="137"/>
      <c r="C167" s="51"/>
      <c r="D167" s="51"/>
      <c r="E167" s="5"/>
      <c r="F167" s="5"/>
      <c r="G167" s="367"/>
      <c r="H167" s="367"/>
      <c r="I167" s="367"/>
      <c r="J167" s="609"/>
      <c r="K167" s="51"/>
      <c r="L167" s="85"/>
      <c r="M167" s="51"/>
      <c r="N167" s="51"/>
      <c r="O167" s="83"/>
      <c r="P167" s="124"/>
      <c r="S167" s="500"/>
      <c r="T167" s="52"/>
      <c r="U167" s="52"/>
    </row>
    <row r="168" spans="1:21" s="6" customFormat="1" ht="18" thickBot="1">
      <c r="A168" s="63"/>
      <c r="B168" s="875" t="s">
        <v>62</v>
      </c>
      <c r="C168" s="875"/>
      <c r="D168" s="875"/>
      <c r="E168" s="875"/>
      <c r="F168" s="875"/>
      <c r="G168" s="875"/>
      <c r="H168" s="875"/>
      <c r="I168" s="875"/>
      <c r="J168" s="875"/>
      <c r="K168" s="875"/>
      <c r="L168" s="875"/>
      <c r="M168" s="875"/>
      <c r="N168" s="875"/>
      <c r="O168" s="875"/>
      <c r="P168" s="63"/>
      <c r="S168" s="7"/>
      <c r="T168" s="25"/>
      <c r="U168" s="25"/>
    </row>
    <row r="169" spans="1:19" s="25" customFormat="1" ht="15">
      <c r="A169" s="68"/>
      <c r="B169" s="454" t="s">
        <v>0</v>
      </c>
      <c r="C169" s="93" t="s">
        <v>299</v>
      </c>
      <c r="D169" s="350" t="s">
        <v>137</v>
      </c>
      <c r="E169" s="93" t="s">
        <v>299</v>
      </c>
      <c r="F169" s="350" t="s">
        <v>137</v>
      </c>
      <c r="G169" s="93" t="s">
        <v>299</v>
      </c>
      <c r="H169" s="350" t="s">
        <v>338</v>
      </c>
      <c r="I169" s="383" t="s">
        <v>302</v>
      </c>
      <c r="J169" s="598" t="s">
        <v>165</v>
      </c>
      <c r="K169" s="9"/>
      <c r="L169" s="36"/>
      <c r="M169" s="1"/>
      <c r="N169" s="1"/>
      <c r="O169" s="41"/>
      <c r="P169" s="351" t="s">
        <v>136</v>
      </c>
      <c r="S169" s="57"/>
    </row>
    <row r="170" spans="1:19" s="25" customFormat="1" ht="15.75" thickBot="1">
      <c r="A170" s="68"/>
      <c r="B170" s="455"/>
      <c r="C170" s="539">
        <v>2015</v>
      </c>
      <c r="D170" s="353">
        <v>2015</v>
      </c>
      <c r="E170" s="540">
        <v>2016</v>
      </c>
      <c r="F170" s="540">
        <v>2016</v>
      </c>
      <c r="G170" s="353">
        <v>2017</v>
      </c>
      <c r="H170" s="418" t="s">
        <v>339</v>
      </c>
      <c r="I170" s="418" t="s">
        <v>303</v>
      </c>
      <c r="J170" s="599" t="s">
        <v>300</v>
      </c>
      <c r="K170" s="9"/>
      <c r="L170" s="36"/>
      <c r="M170" s="1"/>
      <c r="N170" s="1"/>
      <c r="O170" s="41"/>
      <c r="P170" s="355"/>
      <c r="S170" s="57"/>
    </row>
    <row r="171" spans="1:19" s="25" customFormat="1" ht="13.5">
      <c r="A171" s="68"/>
      <c r="B171" s="476" t="s">
        <v>1</v>
      </c>
      <c r="C171" s="477">
        <v>10000</v>
      </c>
      <c r="D171" s="411">
        <v>0</v>
      </c>
      <c r="E171" s="410">
        <f>C171</f>
        <v>10000</v>
      </c>
      <c r="F171" s="410">
        <v>0</v>
      </c>
      <c r="G171" s="411">
        <v>5000</v>
      </c>
      <c r="H171" s="411">
        <v>0</v>
      </c>
      <c r="I171" s="411"/>
      <c r="J171" s="601">
        <v>5000</v>
      </c>
      <c r="K171" s="4"/>
      <c r="L171" s="4"/>
      <c r="M171" s="31"/>
      <c r="N171" s="31"/>
      <c r="O171" s="10"/>
      <c r="P171" s="374"/>
      <c r="S171" s="57"/>
    </row>
    <row r="172" spans="1:19" s="25" customFormat="1" ht="13.5">
      <c r="A172" s="68"/>
      <c r="B172" s="473" t="s">
        <v>8</v>
      </c>
      <c r="C172" s="468">
        <v>40000</v>
      </c>
      <c r="D172" s="398">
        <v>12723</v>
      </c>
      <c r="E172" s="397">
        <f>C172</f>
        <v>40000</v>
      </c>
      <c r="F172" s="397">
        <v>71068</v>
      </c>
      <c r="G172" s="398">
        <v>20000</v>
      </c>
      <c r="H172" s="398">
        <v>12003</v>
      </c>
      <c r="I172" s="398"/>
      <c r="J172" s="602">
        <v>20000</v>
      </c>
      <c r="K172" s="4"/>
      <c r="L172" s="4"/>
      <c r="M172" s="31"/>
      <c r="N172" s="31"/>
      <c r="O172" s="10"/>
      <c r="P172" s="375"/>
      <c r="S172" s="57"/>
    </row>
    <row r="173" spans="1:19" s="25" customFormat="1" ht="13.5">
      <c r="A173" s="68"/>
      <c r="B173" s="473" t="s">
        <v>9</v>
      </c>
      <c r="C173" s="468">
        <v>1000</v>
      </c>
      <c r="D173" s="398">
        <v>115</v>
      </c>
      <c r="E173" s="397">
        <f>C173</f>
        <v>1000</v>
      </c>
      <c r="F173" s="397">
        <v>64</v>
      </c>
      <c r="G173" s="398">
        <v>5000</v>
      </c>
      <c r="H173" s="398">
        <v>3630</v>
      </c>
      <c r="I173" s="398"/>
      <c r="J173" s="602">
        <v>5000</v>
      </c>
      <c r="K173" s="4"/>
      <c r="L173" s="4"/>
      <c r="M173" s="31"/>
      <c r="N173" s="31"/>
      <c r="O173" s="10"/>
      <c r="P173" s="375"/>
      <c r="S173" s="57"/>
    </row>
    <row r="174" spans="1:19" s="25" customFormat="1" ht="13.5">
      <c r="A174" s="68"/>
      <c r="B174" s="473" t="s">
        <v>16</v>
      </c>
      <c r="C174" s="468">
        <v>95000</v>
      </c>
      <c r="D174" s="398"/>
      <c r="E174" s="397">
        <f>C174</f>
        <v>95000</v>
      </c>
      <c r="F174" s="397">
        <v>3014</v>
      </c>
      <c r="G174" s="398">
        <v>22000</v>
      </c>
      <c r="H174" s="398">
        <v>3988</v>
      </c>
      <c r="I174" s="398"/>
      <c r="J174" s="602">
        <f>22000-2000</f>
        <v>20000</v>
      </c>
      <c r="K174" s="27"/>
      <c r="L174" s="4"/>
      <c r="M174" s="31"/>
      <c r="N174" s="31"/>
      <c r="O174" s="10"/>
      <c r="P174" s="375"/>
      <c r="S174" s="57"/>
    </row>
    <row r="175" spans="1:19" s="25" customFormat="1" ht="13.5">
      <c r="A175" s="68"/>
      <c r="B175" s="561" t="s">
        <v>10</v>
      </c>
      <c r="C175" s="562">
        <v>612871</v>
      </c>
      <c r="D175" s="547">
        <v>618557</v>
      </c>
      <c r="E175" s="548">
        <v>615136</v>
      </c>
      <c r="F175" s="548">
        <v>562379</v>
      </c>
      <c r="G175" s="547">
        <v>846137</v>
      </c>
      <c r="H175" s="547">
        <v>342381</v>
      </c>
      <c r="I175" s="547"/>
      <c r="J175" s="616">
        <v>886642</v>
      </c>
      <c r="K175" s="4"/>
      <c r="L175" s="4"/>
      <c r="M175" s="31"/>
      <c r="N175" s="31"/>
      <c r="O175" s="10"/>
      <c r="P175" s="357"/>
      <c r="Q175" s="124" t="s">
        <v>174</v>
      </c>
      <c r="S175" s="57"/>
    </row>
    <row r="176" spans="1:19" s="25" customFormat="1" ht="13.5">
      <c r="A176" s="68">
        <v>1351</v>
      </c>
      <c r="B176" s="473" t="s">
        <v>65</v>
      </c>
      <c r="C176" s="468">
        <v>90000</v>
      </c>
      <c r="D176" s="398">
        <v>70399</v>
      </c>
      <c r="E176" s="397">
        <f>C176</f>
        <v>90000</v>
      </c>
      <c r="F176" s="397">
        <v>85637</v>
      </c>
      <c r="G176" s="398">
        <v>90000</v>
      </c>
      <c r="H176" s="398">
        <v>8800</v>
      </c>
      <c r="I176" s="398"/>
      <c r="J176" s="602">
        <v>80000</v>
      </c>
      <c r="K176" s="4"/>
      <c r="L176" s="4"/>
      <c r="M176" s="31"/>
      <c r="N176" s="31"/>
      <c r="O176" s="10"/>
      <c r="P176" s="357" t="s">
        <v>253</v>
      </c>
      <c r="Q176" s="57">
        <f>J176</f>
        <v>80000</v>
      </c>
      <c r="S176" s="57"/>
    </row>
    <row r="177" spans="1:19" s="25" customFormat="1" ht="13.5">
      <c r="A177" s="68">
        <v>1350</v>
      </c>
      <c r="B177" s="473" t="s">
        <v>210</v>
      </c>
      <c r="C177" s="468">
        <v>30000</v>
      </c>
      <c r="D177" s="398">
        <v>16000</v>
      </c>
      <c r="E177" s="397">
        <f>C177</f>
        <v>30000</v>
      </c>
      <c r="F177" s="397">
        <v>23774</v>
      </c>
      <c r="G177" s="398">
        <v>30000</v>
      </c>
      <c r="H177" s="398">
        <v>16444</v>
      </c>
      <c r="I177" s="398"/>
      <c r="J177" s="602">
        <v>30000</v>
      </c>
      <c r="K177" s="4"/>
      <c r="L177" s="4"/>
      <c r="M177" s="31"/>
      <c r="N177" s="31"/>
      <c r="O177" s="10"/>
      <c r="P177" s="357" t="s">
        <v>149</v>
      </c>
      <c r="Q177" s="57">
        <f>C177</f>
        <v>30000</v>
      </c>
      <c r="S177" s="57"/>
    </row>
    <row r="178" spans="1:19" s="25" customFormat="1" ht="14.25" thickBot="1">
      <c r="A178" s="68">
        <v>1352</v>
      </c>
      <c r="B178" s="493" t="s">
        <v>63</v>
      </c>
      <c r="C178" s="479">
        <v>260000</v>
      </c>
      <c r="D178" s="492">
        <v>110000</v>
      </c>
      <c r="E178" s="422">
        <f>C178</f>
        <v>260000</v>
      </c>
      <c r="F178" s="538">
        <v>236919</v>
      </c>
      <c r="G178" s="492">
        <v>200000</v>
      </c>
      <c r="H178" s="492">
        <v>49530</v>
      </c>
      <c r="I178" s="492"/>
      <c r="J178" s="614">
        <v>180000</v>
      </c>
      <c r="K178" s="4"/>
      <c r="L178" s="4"/>
      <c r="M178" s="31"/>
      <c r="N178" s="31"/>
      <c r="O178" s="10"/>
      <c r="P178" s="359" t="s">
        <v>147</v>
      </c>
      <c r="Q178" s="57">
        <f>J178</f>
        <v>180000</v>
      </c>
      <c r="S178" s="57"/>
    </row>
    <row r="179" spans="1:19" s="25" customFormat="1" ht="14.25" thickBot="1">
      <c r="A179" s="68"/>
      <c r="B179" s="475" t="s">
        <v>2</v>
      </c>
      <c r="C179" s="173">
        <f aca="true" t="shared" si="14" ref="C179:J179">SUM(C171:C178)</f>
        <v>1138871</v>
      </c>
      <c r="D179" s="360">
        <f t="shared" si="14"/>
        <v>827794</v>
      </c>
      <c r="E179" s="149">
        <f t="shared" si="14"/>
        <v>1141136</v>
      </c>
      <c r="F179" s="149">
        <f t="shared" si="14"/>
        <v>982855</v>
      </c>
      <c r="G179" s="360">
        <f t="shared" si="14"/>
        <v>1218137</v>
      </c>
      <c r="H179" s="360">
        <f t="shared" si="14"/>
        <v>436776</v>
      </c>
      <c r="I179" s="360">
        <f t="shared" si="14"/>
        <v>0</v>
      </c>
      <c r="J179" s="360">
        <f t="shared" si="14"/>
        <v>1226642</v>
      </c>
      <c r="K179" s="5"/>
      <c r="L179" s="85"/>
      <c r="M179" s="51"/>
      <c r="N179" s="51"/>
      <c r="O179" s="83"/>
      <c r="P179" s="68"/>
      <c r="Q179" s="509">
        <f>SUM(Q176:Q178)</f>
        <v>290000</v>
      </c>
      <c r="S179" s="57"/>
    </row>
    <row r="180" spans="1:19" s="29" customFormat="1" ht="15.75" thickBot="1">
      <c r="A180" s="278"/>
      <c r="B180" s="21"/>
      <c r="C180" s="23"/>
      <c r="D180" s="362"/>
      <c r="E180" s="22"/>
      <c r="F180" s="22"/>
      <c r="G180" s="362"/>
      <c r="H180" s="362"/>
      <c r="I180" s="362"/>
      <c r="J180" s="611"/>
      <c r="K180" s="31"/>
      <c r="L180" s="31"/>
      <c r="M180" s="31"/>
      <c r="N180" s="31"/>
      <c r="O180" s="10"/>
      <c r="P180" s="278"/>
      <c r="S180" s="134"/>
    </row>
    <row r="181" spans="1:19" s="29" customFormat="1" ht="15.75" thickBot="1">
      <c r="A181" s="278"/>
      <c r="B181" s="24" t="s">
        <v>3</v>
      </c>
      <c r="C181" s="23"/>
      <c r="D181" s="362"/>
      <c r="E181" s="22"/>
      <c r="F181" s="22"/>
      <c r="G181" s="362"/>
      <c r="H181" s="362"/>
      <c r="I181" s="362"/>
      <c r="J181" s="611"/>
      <c r="K181" s="31"/>
      <c r="L181" s="31"/>
      <c r="M181" s="31"/>
      <c r="N181" s="31"/>
      <c r="O181" s="10"/>
      <c r="P181" s="278"/>
      <c r="R181" s="16" t="s">
        <v>263</v>
      </c>
      <c r="S181" s="134"/>
    </row>
    <row r="182" spans="1:19" s="29" customFormat="1" ht="13.5">
      <c r="A182" s="278"/>
      <c r="B182" s="568" t="s">
        <v>333</v>
      </c>
      <c r="C182" s="569">
        <v>30000</v>
      </c>
      <c r="D182" s="570">
        <v>16000</v>
      </c>
      <c r="E182" s="571">
        <f>C182</f>
        <v>30000</v>
      </c>
      <c r="F182" s="571">
        <v>30000</v>
      </c>
      <c r="G182" s="570">
        <v>30000</v>
      </c>
      <c r="H182" s="570">
        <v>10000</v>
      </c>
      <c r="I182" s="570"/>
      <c r="J182" s="617">
        <v>30000</v>
      </c>
      <c r="K182" s="4"/>
      <c r="L182" s="4"/>
      <c r="M182" s="31"/>
      <c r="N182" s="31"/>
      <c r="O182" s="10"/>
      <c r="P182" s="376"/>
      <c r="R182" s="16">
        <f>J182</f>
        <v>30000</v>
      </c>
      <c r="S182" s="134"/>
    </row>
    <row r="183" spans="1:19" s="29" customFormat="1" ht="13.5">
      <c r="A183" s="278"/>
      <c r="B183" s="572" t="s">
        <v>334</v>
      </c>
      <c r="C183" s="573">
        <v>90000</v>
      </c>
      <c r="D183" s="565">
        <v>70399</v>
      </c>
      <c r="E183" s="566">
        <f>C183</f>
        <v>90000</v>
      </c>
      <c r="F183" s="566">
        <v>90000</v>
      </c>
      <c r="G183" s="565">
        <v>90000</v>
      </c>
      <c r="H183" s="565">
        <v>0</v>
      </c>
      <c r="I183" s="565"/>
      <c r="J183" s="608">
        <v>80000</v>
      </c>
      <c r="K183" s="4"/>
      <c r="L183" s="4"/>
      <c r="M183" s="31"/>
      <c r="N183" s="31"/>
      <c r="O183" s="10"/>
      <c r="P183" s="364"/>
      <c r="R183" s="16">
        <f>J183</f>
        <v>80000</v>
      </c>
      <c r="S183" s="134"/>
    </row>
    <row r="184" spans="1:19" s="29" customFormat="1" ht="13.5">
      <c r="A184" s="278"/>
      <c r="B184" s="572" t="s">
        <v>335</v>
      </c>
      <c r="C184" s="573">
        <v>260000</v>
      </c>
      <c r="D184" s="565">
        <v>110000</v>
      </c>
      <c r="E184" s="566">
        <f>C184</f>
        <v>260000</v>
      </c>
      <c r="F184" s="566">
        <v>260000</v>
      </c>
      <c r="G184" s="565">
        <v>200000</v>
      </c>
      <c r="H184" s="565">
        <v>20000</v>
      </c>
      <c r="I184" s="565"/>
      <c r="J184" s="608">
        <v>180000</v>
      </c>
      <c r="K184" s="4"/>
      <c r="L184" s="4"/>
      <c r="M184" s="31"/>
      <c r="N184" s="31"/>
      <c r="O184" s="10"/>
      <c r="P184" s="364"/>
      <c r="R184" s="16">
        <f>J184</f>
        <v>180000</v>
      </c>
      <c r="S184" s="134"/>
    </row>
    <row r="185" spans="1:19" s="29" customFormat="1" ht="14.25" thickBot="1">
      <c r="A185" s="278"/>
      <c r="B185" s="495" t="s">
        <v>4</v>
      </c>
      <c r="C185" s="563">
        <v>758871</v>
      </c>
      <c r="D185" s="555">
        <v>735000</v>
      </c>
      <c r="E185" s="556">
        <v>761136</v>
      </c>
      <c r="F185" s="556">
        <v>761136</v>
      </c>
      <c r="G185" s="555">
        <v>898137</v>
      </c>
      <c r="H185" s="564">
        <v>370607</v>
      </c>
      <c r="I185" s="556"/>
      <c r="J185" s="613">
        <f>938642-2000</f>
        <v>936642</v>
      </c>
      <c r="K185" s="4"/>
      <c r="L185" s="4"/>
      <c r="M185" s="31"/>
      <c r="N185" s="31"/>
      <c r="O185" s="10"/>
      <c r="P185" s="646"/>
      <c r="R185" s="16"/>
      <c r="S185" s="134"/>
    </row>
    <row r="186" spans="1:19" s="29" customFormat="1" ht="14.25" thickBot="1">
      <c r="A186" s="278"/>
      <c r="B186" s="490" t="s">
        <v>5</v>
      </c>
      <c r="C186" s="173">
        <f aca="true" t="shared" si="15" ref="C186:J186">SUM(C182:C185)</f>
        <v>1138871</v>
      </c>
      <c r="D186" s="360">
        <f t="shared" si="15"/>
        <v>931399</v>
      </c>
      <c r="E186" s="149">
        <f t="shared" si="15"/>
        <v>1141136</v>
      </c>
      <c r="F186" s="149">
        <f t="shared" si="15"/>
        <v>1141136</v>
      </c>
      <c r="G186" s="360">
        <f t="shared" si="15"/>
        <v>1218137</v>
      </c>
      <c r="H186" s="360">
        <f t="shared" si="15"/>
        <v>400607</v>
      </c>
      <c r="I186" s="360">
        <f t="shared" si="15"/>
        <v>0</v>
      </c>
      <c r="J186" s="360">
        <f t="shared" si="15"/>
        <v>1226642</v>
      </c>
      <c r="K186" s="51"/>
      <c r="L186" s="85"/>
      <c r="M186" s="51"/>
      <c r="N186" s="51"/>
      <c r="O186" s="83"/>
      <c r="P186" s="278"/>
      <c r="R186" s="510">
        <f>SUM(R182:R185)</f>
        <v>290000</v>
      </c>
      <c r="S186" s="134"/>
    </row>
    <row r="187" spans="1:19" s="29" customFormat="1" ht="7.5" customHeight="1" thickBot="1">
      <c r="A187" s="278"/>
      <c r="B187" s="68"/>
      <c r="C187" s="68"/>
      <c r="D187" s="344"/>
      <c r="E187" s="68"/>
      <c r="F187" s="68"/>
      <c r="G187" s="344"/>
      <c r="H187" s="344"/>
      <c r="I187" s="344"/>
      <c r="J187" s="618"/>
      <c r="P187" s="278"/>
      <c r="S187" s="134"/>
    </row>
    <row r="188" spans="1:19" s="29" customFormat="1" ht="15" thickBot="1" thickTop="1">
      <c r="A188" s="278"/>
      <c r="B188" s="340" t="s">
        <v>224</v>
      </c>
      <c r="C188" s="341"/>
      <c r="D188" s="343">
        <f aca="true" t="shared" si="16" ref="D188:J188">D186-D179</f>
        <v>103605</v>
      </c>
      <c r="E188" s="343">
        <f t="shared" si="16"/>
        <v>0</v>
      </c>
      <c r="F188" s="343">
        <f t="shared" si="16"/>
        <v>158281</v>
      </c>
      <c r="G188" s="343">
        <f t="shared" si="16"/>
        <v>0</v>
      </c>
      <c r="H188" s="343">
        <f t="shared" si="16"/>
        <v>-36169</v>
      </c>
      <c r="I188" s="343">
        <f t="shared" si="16"/>
        <v>0</v>
      </c>
      <c r="J188" s="610">
        <f t="shared" si="16"/>
        <v>0</v>
      </c>
      <c r="P188" s="278"/>
      <c r="S188" s="134"/>
    </row>
    <row r="189" spans="1:19" s="29" customFormat="1" ht="10.5" customHeight="1" thickBot="1" thickTop="1">
      <c r="A189" s="278"/>
      <c r="B189" s="68"/>
      <c r="C189" s="68"/>
      <c r="D189" s="68"/>
      <c r="E189" s="68"/>
      <c r="F189" s="68"/>
      <c r="G189" s="344"/>
      <c r="H189" s="344"/>
      <c r="I189" s="344"/>
      <c r="J189" s="618"/>
      <c r="P189" s="278"/>
      <c r="S189" s="134"/>
    </row>
    <row r="190" spans="1:19" s="29" customFormat="1" ht="15" thickBot="1" thickTop="1">
      <c r="A190" s="278"/>
      <c r="B190" s="340" t="s">
        <v>170</v>
      </c>
      <c r="C190" s="341"/>
      <c r="D190" s="343">
        <f aca="true" t="shared" si="17" ref="D190:J190">D188+D166+D132+D109</f>
        <v>233544</v>
      </c>
      <c r="E190" s="343">
        <f t="shared" si="17"/>
        <v>0</v>
      </c>
      <c r="F190" s="343">
        <f t="shared" si="17"/>
        <v>472042</v>
      </c>
      <c r="G190" s="343">
        <f t="shared" si="17"/>
        <v>0</v>
      </c>
      <c r="H190" s="343">
        <f t="shared" si="17"/>
        <v>-208</v>
      </c>
      <c r="I190" s="343">
        <f t="shared" si="17"/>
        <v>-6245701</v>
      </c>
      <c r="J190" s="610">
        <f t="shared" si="17"/>
        <v>0</v>
      </c>
      <c r="P190" s="278"/>
      <c r="Q190" s="366" t="s">
        <v>264</v>
      </c>
      <c r="R190" s="503">
        <f>R186+R164+R107</f>
        <v>2665000</v>
      </c>
      <c r="S190" s="134"/>
    </row>
    <row r="191" spans="1:19" s="29" customFormat="1" ht="13.5" thickTop="1">
      <c r="A191" s="278"/>
      <c r="B191" s="68"/>
      <c r="C191" s="68"/>
      <c r="D191" s="68"/>
      <c r="E191" s="68"/>
      <c r="F191" s="68"/>
      <c r="G191" s="344"/>
      <c r="H191" s="344"/>
      <c r="I191" s="344"/>
      <c r="J191" s="618"/>
      <c r="P191" s="278"/>
      <c r="S191" s="134"/>
    </row>
    <row r="192" spans="1:19" s="29" customFormat="1" ht="12.75">
      <c r="A192" s="278"/>
      <c r="B192" s="68"/>
      <c r="C192" s="68"/>
      <c r="D192" s="68"/>
      <c r="E192" s="344" t="s">
        <v>354</v>
      </c>
      <c r="F192" s="378" t="s">
        <v>355</v>
      </c>
      <c r="G192" s="344" t="s">
        <v>353</v>
      </c>
      <c r="H192" s="344"/>
      <c r="I192" s="379" t="s">
        <v>213</v>
      </c>
      <c r="J192" s="619" t="s">
        <v>316</v>
      </c>
      <c r="P192" s="68" t="s">
        <v>289</v>
      </c>
      <c r="S192" s="134"/>
    </row>
    <row r="193" spans="1:19" s="29" customFormat="1" ht="12.75">
      <c r="A193" s="278"/>
      <c r="B193" s="68" t="s">
        <v>214</v>
      </c>
      <c r="C193" s="68"/>
      <c r="D193" s="57">
        <f>D185+D156+D129+D64+D62</f>
        <v>8581243</v>
      </c>
      <c r="E193" s="57">
        <f>E185+E156+E129+E64+E62</f>
        <v>9907866</v>
      </c>
      <c r="F193" s="57">
        <f>F185+F156+F129+F64+F62</f>
        <v>9877604</v>
      </c>
      <c r="G193" s="57">
        <f>G185+G156+G129+G64+G62</f>
        <v>10779137</v>
      </c>
      <c r="H193" s="618"/>
      <c r="I193" s="57">
        <f>I185+I156+I129+I64</f>
        <v>0</v>
      </c>
      <c r="J193" s="57">
        <f>J185+J156+J129+J64</f>
        <v>11251494</v>
      </c>
      <c r="K193" s="52"/>
      <c r="L193" s="52"/>
      <c r="M193" s="52"/>
      <c r="N193" s="52"/>
      <c r="O193" s="52"/>
      <c r="P193" s="645">
        <f>J193/G193</f>
        <v>1.0438214116770201</v>
      </c>
      <c r="S193" s="134"/>
    </row>
    <row r="194" spans="1:19" s="29" customFormat="1" ht="12.75">
      <c r="A194" s="278"/>
      <c r="B194" s="68" t="s">
        <v>336</v>
      </c>
      <c r="C194" s="68"/>
      <c r="D194" s="68"/>
      <c r="E194" s="57"/>
      <c r="F194" s="57">
        <f>F184+F183+F182+F162+F161+F159+F158+F157+F93+F91+F89+F87+F86+F84+F81+F80+F82+F78+F76+F75+F74+F73+F71+F69+F65</f>
        <v>2920045</v>
      </c>
      <c r="G194" s="57">
        <f>G184+G183+G182+G162+G161+G159+G158+G98+G97+G93+G92+G91+G89+G88+G87+G85+G82+G81+G80+G78+G76+G75+G74+G73+G71+G68+G65+G84</f>
        <v>2935500</v>
      </c>
      <c r="H194" s="618"/>
      <c r="I194" s="57"/>
      <c r="J194" s="618">
        <f>R190</f>
        <v>2665000</v>
      </c>
      <c r="K194" s="52"/>
      <c r="L194" s="52"/>
      <c r="M194" s="52"/>
      <c r="N194" s="52"/>
      <c r="O194" s="52"/>
      <c r="P194" s="645">
        <f>J194/G194</f>
        <v>0.9078521546584909</v>
      </c>
      <c r="S194" s="134"/>
    </row>
    <row r="195" spans="1:19" s="29" customFormat="1" ht="12.75">
      <c r="A195" s="278"/>
      <c r="B195" s="68"/>
      <c r="C195" s="68"/>
      <c r="D195" s="68"/>
      <c r="E195" s="57">
        <f>SUM(E193:E194)</f>
        <v>9907866</v>
      </c>
      <c r="F195" s="57">
        <f>SUM(F193:F194)</f>
        <v>12797649</v>
      </c>
      <c r="G195" s="57">
        <f>SUM(G193:G194)</f>
        <v>13714637</v>
      </c>
      <c r="H195" s="618"/>
      <c r="I195" s="618"/>
      <c r="J195" s="618">
        <f>SUM(J193:J194)</f>
        <v>13916494</v>
      </c>
      <c r="K195" s="52"/>
      <c r="L195" s="52"/>
      <c r="M195" s="52"/>
      <c r="N195" s="52"/>
      <c r="O195" s="52"/>
      <c r="P195" s="645">
        <f>J195/G195</f>
        <v>1.0147183625786085</v>
      </c>
      <c r="S195" s="134"/>
    </row>
    <row r="196" spans="2:21" ht="12.75">
      <c r="B196" s="63" t="s">
        <v>215</v>
      </c>
      <c r="C196" s="63"/>
      <c r="D196" s="7">
        <f>D175+D149+D122+D15</f>
        <v>4977641</v>
      </c>
      <c r="E196" s="7">
        <f>E175+E149+E122+E15</f>
        <v>5698869</v>
      </c>
      <c r="F196" s="7">
        <f>F175+F149+F122+F15</f>
        <v>5516606</v>
      </c>
      <c r="G196" s="7">
        <f>G175+G149+G122+G15</f>
        <v>6865165</v>
      </c>
      <c r="H196" s="611"/>
      <c r="I196" s="7">
        <f>I175+I149+I122+I15</f>
        <v>2064587</v>
      </c>
      <c r="J196" s="7">
        <f>J175+J149+J122+J15</f>
        <v>7518643</v>
      </c>
      <c r="K196" s="11"/>
      <c r="L196" s="11"/>
      <c r="M196" s="11"/>
      <c r="N196" s="11"/>
      <c r="O196" s="11"/>
      <c r="P196" s="645">
        <f>J196/G196</f>
        <v>1.0951875155222053</v>
      </c>
      <c r="T196" s="29"/>
      <c r="U196" s="29"/>
    </row>
    <row r="197" spans="6:21" ht="12.75">
      <c r="F197" t="s">
        <v>173</v>
      </c>
      <c r="T197" s="29"/>
      <c r="U197" s="29"/>
    </row>
    <row r="198" spans="2:21" ht="12.75">
      <c r="B198" s="68" t="s">
        <v>357</v>
      </c>
      <c r="E198" s="611">
        <f>E179+E150+E123+E56</f>
        <v>16297462</v>
      </c>
      <c r="F198" s="611">
        <f>F179+F150+F123+F56</f>
        <v>16002427</v>
      </c>
      <c r="G198" s="611">
        <f>G179+G150+G123+G56</f>
        <v>17513237</v>
      </c>
      <c r="J198" s="611">
        <f>J179+J150+J123+J56</f>
        <v>18107594</v>
      </c>
      <c r="T198" s="29"/>
      <c r="U198" s="29"/>
    </row>
    <row r="199" spans="2:10" ht="12.75">
      <c r="B199" s="68" t="s">
        <v>358</v>
      </c>
      <c r="E199" s="611">
        <f>E186+E164+E130+E107</f>
        <v>16297462</v>
      </c>
      <c r="F199" s="611">
        <f>F186+F164+F130+F107</f>
        <v>16474469</v>
      </c>
      <c r="G199" s="611">
        <f>G186+G164+G130+G107</f>
        <v>17513237</v>
      </c>
      <c r="J199" s="611">
        <f>J186+J164+J130+J107</f>
        <v>18107594</v>
      </c>
    </row>
    <row r="200" spans="2:5" ht="12.75">
      <c r="B200" s="63"/>
      <c r="E200" t="s">
        <v>173</v>
      </c>
    </row>
    <row r="207" ht="12.75">
      <c r="G207" s="382" t="s">
        <v>173</v>
      </c>
    </row>
  </sheetData>
  <sheetProtection/>
  <mergeCells count="5">
    <mergeCell ref="B1:O1"/>
    <mergeCell ref="B2:O2"/>
    <mergeCell ref="B111:L111"/>
    <mergeCell ref="B134:O134"/>
    <mergeCell ref="B168:O168"/>
  </mergeCells>
  <printOptions/>
  <pageMargins left="0.7" right="0.7" top="0.787401575" bottom="0.787401575" header="0.3" footer="0.3"/>
  <pageSetup horizontalDpi="600" verticalDpi="600" orientation="landscape" paperSize="9" scale="65" r:id="rId1"/>
  <rowBreaks count="3" manualBreakCount="3">
    <brk id="57" max="255" man="1"/>
    <brk id="110" max="255" man="1"/>
    <brk id="1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207"/>
  <sheetViews>
    <sheetView zoomScalePageLayoutView="0" workbookViewId="0" topLeftCell="A169">
      <selection activeCell="A169" sqref="A1:IV16384"/>
    </sheetView>
  </sheetViews>
  <sheetFormatPr defaultColWidth="9.00390625" defaultRowHeight="12.75"/>
  <cols>
    <col min="1" max="1" width="4.375" style="124" customWidth="1"/>
    <col min="2" max="2" width="44.00390625" style="0" customWidth="1"/>
    <col min="3" max="4" width="12.875" style="0" customWidth="1"/>
    <col min="5" max="6" width="12.125" style="0" customWidth="1"/>
    <col min="7" max="8" width="12.00390625" style="382" customWidth="1"/>
    <col min="9" max="9" width="13.00390625" style="382" customWidth="1"/>
    <col min="10" max="10" width="15.00390625" style="611" customWidth="1"/>
    <col min="11" max="11" width="8.50390625" style="0" hidden="1" customWidth="1"/>
    <col min="12" max="15" width="9.125" style="0" hidden="1" customWidth="1"/>
    <col min="16" max="16" width="16.625" style="124" customWidth="1"/>
    <col min="17" max="17" width="9.50390625" style="0" customWidth="1"/>
    <col min="18" max="18" width="10.625" style="0" customWidth="1"/>
    <col min="19" max="19" width="9.125" style="500" customWidth="1"/>
  </cols>
  <sheetData>
    <row r="1" spans="2:16" ht="20.25">
      <c r="B1" s="647" t="s">
        <v>301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8"/>
    </row>
    <row r="2" spans="2:18" ht="20.25">
      <c r="B2" s="873" t="s">
        <v>6</v>
      </c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R2" t="s">
        <v>173</v>
      </c>
    </row>
    <row r="3" spans="1:19" s="10" customFormat="1" ht="5.25" customHeight="1">
      <c r="A3" s="347"/>
      <c r="B3" s="8"/>
      <c r="C3" s="9"/>
      <c r="D3" s="9"/>
      <c r="E3" s="9"/>
      <c r="F3" s="9"/>
      <c r="G3" s="348"/>
      <c r="H3" s="348"/>
      <c r="I3" s="348"/>
      <c r="J3" s="597"/>
      <c r="K3" s="9"/>
      <c r="L3" s="36"/>
      <c r="M3" s="1"/>
      <c r="N3" s="1"/>
      <c r="O3" s="41"/>
      <c r="P3" s="347"/>
      <c r="S3" s="513"/>
    </row>
    <row r="4" spans="1:23" s="10" customFormat="1" ht="11.25" customHeight="1" thickBot="1">
      <c r="A4" s="347"/>
      <c r="B4" s="8"/>
      <c r="C4" s="9"/>
      <c r="D4" s="9"/>
      <c r="E4" s="9"/>
      <c r="F4" s="9"/>
      <c r="G4" s="348"/>
      <c r="H4" s="348"/>
      <c r="I4" s="348"/>
      <c r="J4" s="597"/>
      <c r="K4" s="9"/>
      <c r="L4" s="36"/>
      <c r="M4" s="1"/>
      <c r="N4" s="1"/>
      <c r="O4" s="41"/>
      <c r="P4" s="347"/>
      <c r="Q4" s="131"/>
      <c r="R4" s="131"/>
      <c r="S4" s="502"/>
      <c r="T4" s="29"/>
      <c r="U4" s="29"/>
      <c r="V4" s="29"/>
      <c r="W4" s="29"/>
    </row>
    <row r="5" spans="2:23" ht="15">
      <c r="B5" s="89" t="s">
        <v>7</v>
      </c>
      <c r="C5" s="93" t="s">
        <v>299</v>
      </c>
      <c r="D5" s="350" t="s">
        <v>137</v>
      </c>
      <c r="E5" s="93" t="s">
        <v>299</v>
      </c>
      <c r="F5" s="350" t="s">
        <v>137</v>
      </c>
      <c r="G5" s="93" t="s">
        <v>299</v>
      </c>
      <c r="H5" s="350" t="s">
        <v>338</v>
      </c>
      <c r="I5" s="350" t="s">
        <v>338</v>
      </c>
      <c r="J5" s="386" t="s">
        <v>165</v>
      </c>
      <c r="K5" s="181"/>
      <c r="L5" s="415"/>
      <c r="M5" s="416"/>
      <c r="N5" s="416"/>
      <c r="O5" s="417"/>
      <c r="P5" s="351" t="s">
        <v>136</v>
      </c>
      <c r="Q5" s="131"/>
      <c r="R5" s="25"/>
      <c r="S5" s="57"/>
      <c r="T5" s="29"/>
      <c r="U5" s="29"/>
      <c r="V5" s="29"/>
      <c r="W5" s="29"/>
    </row>
    <row r="6" spans="2:23" ht="15.75" thickBot="1">
      <c r="B6" s="369"/>
      <c r="C6" s="539">
        <v>2015</v>
      </c>
      <c r="D6" s="353">
        <v>2015</v>
      </c>
      <c r="E6" s="540">
        <v>2016</v>
      </c>
      <c r="F6" s="540">
        <v>2016</v>
      </c>
      <c r="G6" s="353">
        <v>2017</v>
      </c>
      <c r="H6" s="418" t="s">
        <v>339</v>
      </c>
      <c r="I6" s="418" t="s">
        <v>359</v>
      </c>
      <c r="J6" s="395" t="s">
        <v>300</v>
      </c>
      <c r="K6" s="182"/>
      <c r="L6" s="419"/>
      <c r="M6" s="420"/>
      <c r="N6" s="420"/>
      <c r="O6" s="421"/>
      <c r="P6" s="355"/>
      <c r="Q6" s="29"/>
      <c r="R6" s="29"/>
      <c r="S6" s="134"/>
      <c r="T6" s="29"/>
      <c r="U6" s="29"/>
      <c r="V6" s="29"/>
      <c r="W6" s="29"/>
    </row>
    <row r="7" spans="1:23" s="2" customFormat="1" ht="12.75" customHeight="1">
      <c r="A7" s="124"/>
      <c r="B7" s="532" t="s">
        <v>307</v>
      </c>
      <c r="C7" s="426">
        <v>1200000</v>
      </c>
      <c r="D7" s="411">
        <v>180273</v>
      </c>
      <c r="E7" s="410">
        <v>203000</v>
      </c>
      <c r="F7" s="410">
        <v>182957</v>
      </c>
      <c r="G7" s="411">
        <v>200000</v>
      </c>
      <c r="H7" s="411">
        <v>79385</v>
      </c>
      <c r="I7" s="411">
        <v>94379</v>
      </c>
      <c r="J7" s="601">
        <v>204000</v>
      </c>
      <c r="K7" s="4"/>
      <c r="L7" s="26"/>
      <c r="M7" s="65"/>
      <c r="N7" s="65"/>
      <c r="O7" s="69"/>
      <c r="P7" s="633">
        <v>0.05</v>
      </c>
      <c r="Q7" s="57"/>
      <c r="R7" s="57"/>
      <c r="S7" s="57"/>
      <c r="T7" s="70"/>
      <c r="U7" s="70"/>
      <c r="V7" s="70"/>
      <c r="W7" s="70"/>
    </row>
    <row r="8" spans="1:23" s="2" customFormat="1" ht="12.75" customHeight="1">
      <c r="A8" s="124"/>
      <c r="B8" s="533" t="s">
        <v>305</v>
      </c>
      <c r="C8" s="427"/>
      <c r="D8" s="398">
        <v>108606</v>
      </c>
      <c r="E8" s="397">
        <v>77000</v>
      </c>
      <c r="F8" s="397">
        <v>70712</v>
      </c>
      <c r="G8" s="398">
        <v>90000</v>
      </c>
      <c r="H8" s="398">
        <v>34564</v>
      </c>
      <c r="I8" s="398">
        <v>45710</v>
      </c>
      <c r="J8" s="630">
        <v>91800</v>
      </c>
      <c r="K8" s="4"/>
      <c r="L8" s="26"/>
      <c r="M8" s="65"/>
      <c r="N8" s="65"/>
      <c r="O8" s="69"/>
      <c r="P8" s="634">
        <v>0.05</v>
      </c>
      <c r="Q8" s="57"/>
      <c r="R8" s="57"/>
      <c r="S8" s="57"/>
      <c r="T8" s="70"/>
      <c r="U8" s="70"/>
      <c r="V8" s="70"/>
      <c r="W8" s="70"/>
    </row>
    <row r="9" spans="1:23" s="2" customFormat="1" ht="12.75" customHeight="1">
      <c r="A9" s="124"/>
      <c r="B9" s="533" t="s">
        <v>306</v>
      </c>
      <c r="C9" s="428"/>
      <c r="D9" s="423">
        <v>850526</v>
      </c>
      <c r="E9" s="422">
        <v>920000</v>
      </c>
      <c r="F9" s="422">
        <v>958122</v>
      </c>
      <c r="G9" s="423">
        <v>1000000</v>
      </c>
      <c r="H9" s="423">
        <v>631118</v>
      </c>
      <c r="I9" s="423">
        <v>638962</v>
      </c>
      <c r="J9" s="631">
        <v>1020000</v>
      </c>
      <c r="K9" s="4"/>
      <c r="L9" s="26"/>
      <c r="M9" s="65"/>
      <c r="N9" s="65"/>
      <c r="O9" s="69"/>
      <c r="P9" s="358">
        <v>0.1</v>
      </c>
      <c r="Q9" s="57"/>
      <c r="R9" s="57"/>
      <c r="S9" s="57"/>
      <c r="T9" s="70"/>
      <c r="U9" s="70"/>
      <c r="V9" s="70"/>
      <c r="W9" s="70"/>
    </row>
    <row r="10" spans="1:23" s="2" customFormat="1" ht="12.75" customHeight="1">
      <c r="A10" s="124"/>
      <c r="B10" s="534" t="s">
        <v>1</v>
      </c>
      <c r="C10" s="426">
        <v>50000</v>
      </c>
      <c r="D10" s="411">
        <v>7811</v>
      </c>
      <c r="E10" s="410">
        <f>C10</f>
        <v>50000</v>
      </c>
      <c r="F10" s="410">
        <v>12631</v>
      </c>
      <c r="G10" s="411">
        <v>50000</v>
      </c>
      <c r="H10" s="411">
        <v>25991</v>
      </c>
      <c r="I10" s="412">
        <v>25991</v>
      </c>
      <c r="J10" s="601">
        <v>50000</v>
      </c>
      <c r="K10" s="4"/>
      <c r="L10" s="26"/>
      <c r="M10" s="65"/>
      <c r="N10" s="65"/>
      <c r="O10" s="69"/>
      <c r="P10" s="357"/>
      <c r="Q10" s="57"/>
      <c r="R10" s="57"/>
      <c r="S10" s="57"/>
      <c r="T10" s="70"/>
      <c r="U10" s="70"/>
      <c r="V10" s="70"/>
      <c r="W10" s="70"/>
    </row>
    <row r="11" spans="1:23" s="2" customFormat="1" ht="12.75" customHeight="1">
      <c r="A11" s="124"/>
      <c r="B11" s="527" t="s">
        <v>8</v>
      </c>
      <c r="C11" s="427">
        <v>395000</v>
      </c>
      <c r="D11" s="398">
        <v>357616</v>
      </c>
      <c r="E11" s="397">
        <f>C11</f>
        <v>395000</v>
      </c>
      <c r="F11" s="397">
        <v>443970</v>
      </c>
      <c r="G11" s="398">
        <v>403000</v>
      </c>
      <c r="H11" s="398">
        <v>84691</v>
      </c>
      <c r="I11" s="399">
        <v>107724</v>
      </c>
      <c r="J11" s="602">
        <v>410000</v>
      </c>
      <c r="K11" s="4"/>
      <c r="L11" s="26"/>
      <c r="M11" s="65"/>
      <c r="N11" s="65"/>
      <c r="O11" s="69"/>
      <c r="P11" s="357"/>
      <c r="Q11" s="57"/>
      <c r="R11" s="57"/>
      <c r="S11" s="57"/>
      <c r="T11" s="70"/>
      <c r="U11" s="70"/>
      <c r="V11" s="70"/>
      <c r="W11" s="70"/>
    </row>
    <row r="12" spans="1:23" s="2" customFormat="1" ht="12.75" customHeight="1">
      <c r="A12" s="124"/>
      <c r="B12" s="527" t="s">
        <v>18</v>
      </c>
      <c r="C12" s="427">
        <v>3300000</v>
      </c>
      <c r="D12" s="398">
        <f>3456317-D22</f>
        <v>3419317</v>
      </c>
      <c r="E12" s="397">
        <v>3074132</v>
      </c>
      <c r="F12" s="397">
        <v>2755358</v>
      </c>
      <c r="G12" s="398">
        <v>1870000</v>
      </c>
      <c r="H12" s="398">
        <v>1242344</v>
      </c>
      <c r="I12" s="399">
        <v>1381095</v>
      </c>
      <c r="J12" s="602">
        <v>1907000</v>
      </c>
      <c r="K12" s="4"/>
      <c r="L12" s="26"/>
      <c r="M12" s="65"/>
      <c r="N12" s="65"/>
      <c r="O12" s="69"/>
      <c r="P12" s="357" t="s">
        <v>347</v>
      </c>
      <c r="Q12" s="57"/>
      <c r="R12" s="57"/>
      <c r="S12" s="57"/>
      <c r="T12" s="70"/>
      <c r="U12" s="70"/>
      <c r="V12" s="70"/>
      <c r="W12" s="70"/>
    </row>
    <row r="13" spans="1:23" s="2" customFormat="1" ht="12.75" customHeight="1">
      <c r="A13" s="124"/>
      <c r="B13" s="527" t="s">
        <v>9</v>
      </c>
      <c r="C13" s="427">
        <v>230000</v>
      </c>
      <c r="D13" s="398">
        <v>318</v>
      </c>
      <c r="E13" s="397">
        <f>C13</f>
        <v>230000</v>
      </c>
      <c r="F13" s="397">
        <v>383291</v>
      </c>
      <c r="G13" s="398">
        <v>1040000</v>
      </c>
      <c r="H13" s="398">
        <v>433287</v>
      </c>
      <c r="I13" s="399">
        <v>568683</v>
      </c>
      <c r="J13" s="602">
        <v>1190000</v>
      </c>
      <c r="K13" s="4"/>
      <c r="L13" s="26"/>
      <c r="M13" s="65"/>
      <c r="N13" s="65"/>
      <c r="O13" s="69"/>
      <c r="P13" s="357" t="s">
        <v>346</v>
      </c>
      <c r="Q13" s="57"/>
      <c r="R13" s="57"/>
      <c r="S13" s="57"/>
      <c r="T13" s="70"/>
      <c r="U13" s="70"/>
      <c r="V13" s="70"/>
      <c r="W13" s="70"/>
    </row>
    <row r="14" spans="1:23" s="2" customFormat="1" ht="12.75" customHeight="1" hidden="1">
      <c r="A14" s="124"/>
      <c r="B14" s="636" t="s">
        <v>345</v>
      </c>
      <c r="C14" s="635"/>
      <c r="D14" s="403"/>
      <c r="E14" s="402"/>
      <c r="F14" s="402"/>
      <c r="G14" s="403"/>
      <c r="H14" s="403"/>
      <c r="I14" s="637"/>
      <c r="J14" s="638"/>
      <c r="K14" s="4"/>
      <c r="L14" s="26"/>
      <c r="M14" s="65"/>
      <c r="N14" s="65"/>
      <c r="O14" s="69"/>
      <c r="P14" s="357"/>
      <c r="Q14" s="57"/>
      <c r="R14" s="57"/>
      <c r="S14" s="57"/>
      <c r="T14" s="70"/>
      <c r="U14" s="70"/>
      <c r="V14" s="70"/>
      <c r="W14" s="70"/>
    </row>
    <row r="15" spans="1:23" s="2" customFormat="1" ht="12.75" customHeight="1">
      <c r="A15" s="124"/>
      <c r="B15" s="545" t="s">
        <v>10</v>
      </c>
      <c r="C15" s="546">
        <v>3950254</v>
      </c>
      <c r="D15" s="547">
        <v>3339761</v>
      </c>
      <c r="E15" s="548">
        <v>4010430</v>
      </c>
      <c r="F15" s="548">
        <v>3952290</v>
      </c>
      <c r="G15" s="547">
        <v>4615045</v>
      </c>
      <c r="H15" s="547">
        <v>1683327</v>
      </c>
      <c r="I15" s="547">
        <v>2064587</v>
      </c>
      <c r="J15" s="632">
        <v>5470439</v>
      </c>
      <c r="K15" s="4"/>
      <c r="L15" s="26"/>
      <c r="M15" s="81"/>
      <c r="N15" s="81"/>
      <c r="O15" s="69"/>
      <c r="P15" s="357" t="s">
        <v>352</v>
      </c>
      <c r="Q15" s="124" t="s">
        <v>174</v>
      </c>
      <c r="R15" s="57"/>
      <c r="S15" s="514" t="s">
        <v>291</v>
      </c>
      <c r="T15" s="70"/>
      <c r="U15" s="70"/>
      <c r="V15" s="70"/>
      <c r="W15" s="70"/>
    </row>
    <row r="16" spans="1:23" s="2" customFormat="1" ht="12.75" customHeight="1">
      <c r="A16" s="124">
        <v>1601</v>
      </c>
      <c r="B16" s="518" t="s">
        <v>349</v>
      </c>
      <c r="C16" s="427">
        <v>950000</v>
      </c>
      <c r="D16" s="398">
        <v>1299917</v>
      </c>
      <c r="E16" s="404">
        <f>C16</f>
        <v>950000</v>
      </c>
      <c r="F16" s="404">
        <v>895685</v>
      </c>
      <c r="G16" s="398">
        <v>1004000</v>
      </c>
      <c r="H16" s="398">
        <v>51774</v>
      </c>
      <c r="I16" s="398">
        <v>53951</v>
      </c>
      <c r="J16" s="602">
        <v>1304500</v>
      </c>
      <c r="K16" s="4"/>
      <c r="L16" s="53"/>
      <c r="M16" s="65"/>
      <c r="N16" s="65"/>
      <c r="O16" s="69"/>
      <c r="P16" s="357" t="s">
        <v>231</v>
      </c>
      <c r="Q16" s="57">
        <f>J16</f>
        <v>1304500</v>
      </c>
      <c r="R16" s="348"/>
      <c r="S16" s="57">
        <f>52500+12000</f>
        <v>64500</v>
      </c>
      <c r="T16" s="70"/>
      <c r="U16" s="70"/>
      <c r="V16" s="70"/>
      <c r="W16" s="70"/>
    </row>
    <row r="17" spans="1:23" s="2" customFormat="1" ht="12.75" customHeight="1">
      <c r="A17" s="124"/>
      <c r="B17" s="535" t="s">
        <v>310</v>
      </c>
      <c r="C17" s="429"/>
      <c r="D17" s="406"/>
      <c r="E17" s="405">
        <v>130000</v>
      </c>
      <c r="F17" s="405">
        <v>130000</v>
      </c>
      <c r="G17" s="406"/>
      <c r="H17" s="406"/>
      <c r="I17" s="406"/>
      <c r="J17" s="602"/>
      <c r="K17" s="4"/>
      <c r="L17" s="53"/>
      <c r="M17" s="65"/>
      <c r="N17" s="65"/>
      <c r="O17" s="69"/>
      <c r="P17" s="357"/>
      <c r="Q17" s="57"/>
      <c r="R17" s="348"/>
      <c r="S17" s="57"/>
      <c r="T17" s="70"/>
      <c r="U17" s="70"/>
      <c r="V17" s="70"/>
      <c r="W17" s="70"/>
    </row>
    <row r="18" spans="1:23" s="2" customFormat="1" ht="12.75" customHeight="1">
      <c r="A18" s="124"/>
      <c r="B18" s="535" t="s">
        <v>309</v>
      </c>
      <c r="C18" s="429"/>
      <c r="D18" s="406"/>
      <c r="E18" s="405">
        <v>30000</v>
      </c>
      <c r="F18" s="405">
        <v>30000</v>
      </c>
      <c r="G18" s="406">
        <v>50000</v>
      </c>
      <c r="H18" s="406"/>
      <c r="I18" s="406"/>
      <c r="J18" s="602"/>
      <c r="K18" s="4"/>
      <c r="L18" s="53"/>
      <c r="M18" s="65"/>
      <c r="N18" s="65"/>
      <c r="O18" s="69"/>
      <c r="P18" s="357"/>
      <c r="Q18" s="57"/>
      <c r="R18" s="348"/>
      <c r="S18" s="57"/>
      <c r="T18" s="70"/>
      <c r="U18" s="70"/>
      <c r="V18" s="70"/>
      <c r="W18" s="70"/>
    </row>
    <row r="19" spans="1:23" s="2" customFormat="1" ht="12.75" customHeight="1">
      <c r="A19" s="124"/>
      <c r="B19" s="535" t="s">
        <v>337</v>
      </c>
      <c r="C19" s="429"/>
      <c r="D19" s="406"/>
      <c r="E19" s="405"/>
      <c r="F19" s="405"/>
      <c r="G19" s="406">
        <v>50000</v>
      </c>
      <c r="H19" s="406">
        <v>8815</v>
      </c>
      <c r="I19" s="406">
        <v>8815</v>
      </c>
      <c r="J19" s="602"/>
      <c r="K19" s="4"/>
      <c r="L19" s="53"/>
      <c r="M19" s="65"/>
      <c r="N19" s="65"/>
      <c r="O19" s="69"/>
      <c r="P19" s="357" t="s">
        <v>232</v>
      </c>
      <c r="Q19" s="57">
        <f>J19</f>
        <v>0</v>
      </c>
      <c r="R19" s="348"/>
      <c r="S19" s="57"/>
      <c r="T19" s="70"/>
      <c r="U19" s="70"/>
      <c r="V19" s="70"/>
      <c r="W19" s="70"/>
    </row>
    <row r="20" spans="1:23" s="2" customFormat="1" ht="12.75" customHeight="1">
      <c r="A20" s="124">
        <v>1902</v>
      </c>
      <c r="B20" s="518" t="s">
        <v>139</v>
      </c>
      <c r="C20" s="427">
        <v>100000</v>
      </c>
      <c r="D20" s="398">
        <v>2815</v>
      </c>
      <c r="E20" s="404">
        <f>C20</f>
        <v>100000</v>
      </c>
      <c r="F20" s="404">
        <v>36664</v>
      </c>
      <c r="G20" s="398">
        <v>50000</v>
      </c>
      <c r="H20" s="398">
        <v>21502</v>
      </c>
      <c r="I20" s="398">
        <v>23173</v>
      </c>
      <c r="J20" s="602">
        <v>50000</v>
      </c>
      <c r="K20" s="4"/>
      <c r="L20" s="53"/>
      <c r="M20" s="65"/>
      <c r="N20" s="65"/>
      <c r="O20" s="69"/>
      <c r="P20" s="357" t="s">
        <v>350</v>
      </c>
      <c r="Q20" s="57">
        <f>J20</f>
        <v>50000</v>
      </c>
      <c r="R20" s="348"/>
      <c r="S20" s="57"/>
      <c r="T20" s="70"/>
      <c r="U20" s="70"/>
      <c r="V20" s="70"/>
      <c r="W20" s="70"/>
    </row>
    <row r="21" spans="1:23" s="2" customFormat="1" ht="12.75" customHeight="1">
      <c r="A21" s="124">
        <v>1306</v>
      </c>
      <c r="B21" s="518" t="s">
        <v>69</v>
      </c>
      <c r="C21" s="430">
        <v>30000</v>
      </c>
      <c r="D21" s="398">
        <v>40346</v>
      </c>
      <c r="E21" s="404">
        <f>C21</f>
        <v>30000</v>
      </c>
      <c r="F21" s="404">
        <v>45600</v>
      </c>
      <c r="G21" s="398">
        <v>42000</v>
      </c>
      <c r="H21" s="398"/>
      <c r="I21" s="398"/>
      <c r="J21" s="602">
        <v>50000</v>
      </c>
      <c r="K21" s="4"/>
      <c r="L21" s="53"/>
      <c r="M21" s="65"/>
      <c r="N21" s="65"/>
      <c r="O21" s="69"/>
      <c r="P21" s="357" t="s">
        <v>233</v>
      </c>
      <c r="Q21" s="57">
        <f>J21</f>
        <v>50000</v>
      </c>
      <c r="R21" s="348"/>
      <c r="S21" s="57"/>
      <c r="T21" s="70"/>
      <c r="U21" s="70"/>
      <c r="V21" s="70"/>
      <c r="W21" s="70"/>
    </row>
    <row r="22" spans="1:23" s="2" customFormat="1" ht="12.75" customHeight="1" hidden="1">
      <c r="A22" s="124">
        <v>1317</v>
      </c>
      <c r="B22" s="518" t="s">
        <v>176</v>
      </c>
      <c r="C22" s="430"/>
      <c r="D22" s="398">
        <v>37000</v>
      </c>
      <c r="E22" s="404"/>
      <c r="F22" s="404"/>
      <c r="G22" s="398"/>
      <c r="H22" s="398"/>
      <c r="I22" s="398"/>
      <c r="J22" s="602"/>
      <c r="K22" s="4"/>
      <c r="L22" s="53"/>
      <c r="M22" s="65"/>
      <c r="N22" s="65"/>
      <c r="O22" s="69"/>
      <c r="P22" s="357"/>
      <c r="Q22" s="57"/>
      <c r="R22" s="348"/>
      <c r="S22" s="57"/>
      <c r="T22" s="70"/>
      <c r="U22" s="70"/>
      <c r="V22" s="70"/>
      <c r="W22" s="70"/>
    </row>
    <row r="23" spans="1:23" s="2" customFormat="1" ht="12.75" customHeight="1">
      <c r="A23" s="124">
        <v>1313</v>
      </c>
      <c r="B23" s="518" t="s">
        <v>24</v>
      </c>
      <c r="C23" s="430">
        <v>40000</v>
      </c>
      <c r="D23" s="398">
        <v>37752</v>
      </c>
      <c r="E23" s="404">
        <f>C23</f>
        <v>40000</v>
      </c>
      <c r="F23" s="404">
        <v>33632</v>
      </c>
      <c r="G23" s="398">
        <v>60000</v>
      </c>
      <c r="H23" s="398">
        <v>11920</v>
      </c>
      <c r="I23" s="398">
        <v>31920</v>
      </c>
      <c r="J23" s="602">
        <f>60000-30000</f>
        <v>30000</v>
      </c>
      <c r="K23" s="4"/>
      <c r="L23" s="53"/>
      <c r="M23" s="65"/>
      <c r="N23" s="65"/>
      <c r="O23" s="69"/>
      <c r="P23" s="357" t="s">
        <v>340</v>
      </c>
      <c r="Q23" s="57">
        <f aca="true" t="shared" si="0" ref="Q23:Q29">J23</f>
        <v>30000</v>
      </c>
      <c r="R23" s="348"/>
      <c r="S23" s="57"/>
      <c r="T23" s="70"/>
      <c r="U23" s="70"/>
      <c r="V23" s="70"/>
      <c r="W23" s="70"/>
    </row>
    <row r="24" spans="1:23" s="2" customFormat="1" ht="12.75" customHeight="1">
      <c r="A24" s="124">
        <v>1318</v>
      </c>
      <c r="B24" s="518" t="s">
        <v>25</v>
      </c>
      <c r="C24" s="430">
        <v>40000</v>
      </c>
      <c r="D24" s="398">
        <v>28894</v>
      </c>
      <c r="E24" s="404">
        <v>15265</v>
      </c>
      <c r="F24" s="404">
        <v>15801</v>
      </c>
      <c r="G24" s="398">
        <v>40000</v>
      </c>
      <c r="H24" s="398">
        <v>19699</v>
      </c>
      <c r="I24" s="398">
        <v>19699</v>
      </c>
      <c r="J24" s="602">
        <v>19000</v>
      </c>
      <c r="K24" s="4"/>
      <c r="L24" s="53"/>
      <c r="M24" s="65"/>
      <c r="N24" s="65"/>
      <c r="O24" s="69"/>
      <c r="P24" s="357" t="s">
        <v>236</v>
      </c>
      <c r="Q24" s="57">
        <f t="shared" si="0"/>
        <v>19000</v>
      </c>
      <c r="R24" s="348"/>
      <c r="S24" s="57">
        <v>9000</v>
      </c>
      <c r="T24" s="70"/>
      <c r="U24" s="70"/>
      <c r="V24" s="70"/>
      <c r="W24" s="70"/>
    </row>
    <row r="25" spans="1:23" s="2" customFormat="1" ht="12.75" customHeight="1">
      <c r="A25" s="124">
        <v>1311</v>
      </c>
      <c r="B25" s="518" t="s">
        <v>26</v>
      </c>
      <c r="C25" s="430">
        <v>120000</v>
      </c>
      <c r="D25" s="398">
        <v>135729</v>
      </c>
      <c r="E25" s="404">
        <v>127328</v>
      </c>
      <c r="F25" s="404">
        <v>117696</v>
      </c>
      <c r="G25" s="398">
        <v>130000</v>
      </c>
      <c r="H25" s="398"/>
      <c r="I25" s="398"/>
      <c r="J25" s="602">
        <v>130000</v>
      </c>
      <c r="K25" s="4"/>
      <c r="L25" s="53"/>
      <c r="M25" s="65"/>
      <c r="N25" s="65"/>
      <c r="O25" s="69"/>
      <c r="P25" s="357" t="s">
        <v>141</v>
      </c>
      <c r="Q25" s="57">
        <f t="shared" si="0"/>
        <v>130000</v>
      </c>
      <c r="R25" s="348"/>
      <c r="S25" s="57"/>
      <c r="T25" s="70"/>
      <c r="U25" s="70"/>
      <c r="V25" s="70"/>
      <c r="W25" s="70"/>
    </row>
    <row r="26" spans="1:23" s="2" customFormat="1" ht="12.75" customHeight="1">
      <c r="A26" s="124">
        <v>1500</v>
      </c>
      <c r="B26" s="518" t="s">
        <v>20</v>
      </c>
      <c r="C26" s="430">
        <v>402930</v>
      </c>
      <c r="D26" s="398">
        <v>452092</v>
      </c>
      <c r="E26" s="404">
        <v>510154</v>
      </c>
      <c r="F26" s="404">
        <v>628230</v>
      </c>
      <c r="G26" s="398"/>
      <c r="H26" s="398">
        <v>40635</v>
      </c>
      <c r="I26" s="398">
        <v>40635</v>
      </c>
      <c r="J26" s="602">
        <v>0</v>
      </c>
      <c r="K26" s="4"/>
      <c r="L26" s="53"/>
      <c r="M26" s="65"/>
      <c r="N26" s="65"/>
      <c r="O26" s="69"/>
      <c r="P26" s="357"/>
      <c r="Q26" s="57">
        <f t="shared" si="0"/>
        <v>0</v>
      </c>
      <c r="R26" s="348"/>
      <c r="S26" s="57"/>
      <c r="T26" s="70"/>
      <c r="U26" s="70"/>
      <c r="V26" s="70"/>
      <c r="W26" s="70"/>
    </row>
    <row r="27" spans="1:23" s="2" customFormat="1" ht="12.75" customHeight="1">
      <c r="A27" s="124">
        <v>1323</v>
      </c>
      <c r="B27" s="518" t="s">
        <v>40</v>
      </c>
      <c r="C27" s="430">
        <v>50000</v>
      </c>
      <c r="D27" s="398">
        <v>26825</v>
      </c>
      <c r="E27" s="404">
        <v>15397</v>
      </c>
      <c r="F27" s="404">
        <v>15397</v>
      </c>
      <c r="G27" s="398">
        <v>30000</v>
      </c>
      <c r="H27" s="398">
        <v>16672</v>
      </c>
      <c r="I27" s="398">
        <v>16762</v>
      </c>
      <c r="J27" s="602">
        <v>30000</v>
      </c>
      <c r="K27" s="4"/>
      <c r="L27" s="53"/>
      <c r="M27" s="65"/>
      <c r="N27" s="65"/>
      <c r="O27" s="69"/>
      <c r="P27" s="357" t="s">
        <v>238</v>
      </c>
      <c r="Q27" s="57">
        <f t="shared" si="0"/>
        <v>30000</v>
      </c>
      <c r="R27" s="348"/>
      <c r="S27" s="57">
        <v>12000</v>
      </c>
      <c r="T27" s="70"/>
      <c r="U27" s="70"/>
      <c r="V27" s="70"/>
      <c r="W27" s="70"/>
    </row>
    <row r="28" spans="1:23" s="2" customFormat="1" ht="12.75" customHeight="1">
      <c r="A28" s="124">
        <v>1324</v>
      </c>
      <c r="B28" s="518" t="s">
        <v>41</v>
      </c>
      <c r="C28" s="430">
        <v>30000</v>
      </c>
      <c r="D28" s="398">
        <v>64487</v>
      </c>
      <c r="E28" s="404">
        <f>C28</f>
        <v>30000</v>
      </c>
      <c r="F28" s="404">
        <v>42642</v>
      </c>
      <c r="G28" s="398">
        <v>60000</v>
      </c>
      <c r="H28" s="398">
        <v>29980</v>
      </c>
      <c r="I28" s="398">
        <v>29980</v>
      </c>
      <c r="J28" s="602">
        <v>70000</v>
      </c>
      <c r="K28" s="4"/>
      <c r="L28" s="53"/>
      <c r="M28" s="65"/>
      <c r="N28" s="65"/>
      <c r="O28" s="69"/>
      <c r="P28" s="357" t="s">
        <v>239</v>
      </c>
      <c r="Q28" s="57">
        <f t="shared" si="0"/>
        <v>70000</v>
      </c>
      <c r="R28" s="348"/>
      <c r="S28" s="57">
        <v>50000</v>
      </c>
      <c r="T28" s="70"/>
      <c r="U28" s="70"/>
      <c r="V28" s="70"/>
      <c r="W28" s="70"/>
    </row>
    <row r="29" spans="1:23" s="2" customFormat="1" ht="12.75" customHeight="1">
      <c r="A29" s="124">
        <v>1325</v>
      </c>
      <c r="B29" s="518" t="s">
        <v>177</v>
      </c>
      <c r="C29" s="430">
        <v>80000</v>
      </c>
      <c r="D29" s="398">
        <v>291326</v>
      </c>
      <c r="E29" s="404">
        <v>316888</v>
      </c>
      <c r="F29" s="404">
        <v>316888</v>
      </c>
      <c r="G29" s="398">
        <v>330000</v>
      </c>
      <c r="H29" s="398">
        <v>309354</v>
      </c>
      <c r="I29" s="398">
        <v>316554</v>
      </c>
      <c r="J29" s="602">
        <f>355000-40000-50000</f>
        <v>265000</v>
      </c>
      <c r="K29" s="4"/>
      <c r="L29" s="53"/>
      <c r="M29" s="65"/>
      <c r="N29" s="65"/>
      <c r="O29" s="69"/>
      <c r="P29" s="357" t="s">
        <v>240</v>
      </c>
      <c r="Q29" s="57">
        <f t="shared" si="0"/>
        <v>265000</v>
      </c>
      <c r="R29" s="348"/>
      <c r="S29" s="57">
        <v>75000</v>
      </c>
      <c r="T29" s="70"/>
      <c r="U29" s="70"/>
      <c r="V29" s="70"/>
      <c r="W29" s="70"/>
    </row>
    <row r="30" spans="1:23" s="2" customFormat="1" ht="12.75" customHeight="1" hidden="1">
      <c r="A30" s="124"/>
      <c r="B30" s="535" t="s">
        <v>178</v>
      </c>
      <c r="C30" s="576"/>
      <c r="D30" s="577"/>
      <c r="E30" s="577">
        <v>50000</v>
      </c>
      <c r="F30" s="577">
        <v>50000</v>
      </c>
      <c r="G30" s="577"/>
      <c r="H30" s="577"/>
      <c r="I30" s="406"/>
      <c r="J30" s="602"/>
      <c r="K30" s="4"/>
      <c r="L30" s="53"/>
      <c r="M30" s="65"/>
      <c r="N30" s="65"/>
      <c r="O30" s="69"/>
      <c r="P30" s="357"/>
      <c r="Q30" s="57"/>
      <c r="R30" s="348"/>
      <c r="S30" s="57"/>
      <c r="T30" s="70"/>
      <c r="U30" s="70"/>
      <c r="V30" s="70"/>
      <c r="W30" s="70"/>
    </row>
    <row r="31" spans="1:23" s="2" customFormat="1" ht="12.75" customHeight="1">
      <c r="A31" s="124">
        <v>1312</v>
      </c>
      <c r="B31" s="592" t="s">
        <v>179</v>
      </c>
      <c r="C31" s="576">
        <v>370000</v>
      </c>
      <c r="D31" s="577">
        <v>246390</v>
      </c>
      <c r="E31" s="593">
        <f>C31</f>
        <v>370000</v>
      </c>
      <c r="F31" s="593">
        <v>309048</v>
      </c>
      <c r="G31" s="577">
        <v>370000</v>
      </c>
      <c r="H31" s="577">
        <v>52</v>
      </c>
      <c r="I31" s="398">
        <v>2551</v>
      </c>
      <c r="J31" s="602">
        <v>270000</v>
      </c>
      <c r="K31" s="4"/>
      <c r="L31" s="53"/>
      <c r="M31" s="65"/>
      <c r="N31" s="65"/>
      <c r="O31" s="69"/>
      <c r="P31" s="357" t="s">
        <v>241</v>
      </c>
      <c r="Q31" s="57">
        <f aca="true" t="shared" si="1" ref="Q31:Q38">J31</f>
        <v>270000</v>
      </c>
      <c r="R31" s="348"/>
      <c r="S31" s="57"/>
      <c r="T31" s="70"/>
      <c r="U31" s="70"/>
      <c r="V31" s="70"/>
      <c r="W31" s="70"/>
    </row>
    <row r="32" spans="1:23" s="2" customFormat="1" ht="12.75" customHeight="1">
      <c r="A32" s="124"/>
      <c r="B32" s="644" t="s">
        <v>341</v>
      </c>
      <c r="C32" s="576"/>
      <c r="D32" s="577"/>
      <c r="E32" s="593"/>
      <c r="F32" s="593"/>
      <c r="G32" s="577"/>
      <c r="H32" s="577"/>
      <c r="I32" s="398"/>
      <c r="J32" s="602">
        <v>0</v>
      </c>
      <c r="K32" s="4"/>
      <c r="L32" s="53"/>
      <c r="M32" s="65"/>
      <c r="N32" s="65"/>
      <c r="O32" s="69"/>
      <c r="P32" s="357" t="s">
        <v>243</v>
      </c>
      <c r="Q32" s="57">
        <f t="shared" si="1"/>
        <v>0</v>
      </c>
      <c r="R32" s="348"/>
      <c r="S32" s="57" t="s">
        <v>356</v>
      </c>
      <c r="T32" s="70"/>
      <c r="U32" s="70"/>
      <c r="V32" s="70"/>
      <c r="W32" s="70"/>
    </row>
    <row r="33" spans="1:23" s="2" customFormat="1" ht="12.75" customHeight="1" hidden="1">
      <c r="A33" s="124"/>
      <c r="B33" s="592" t="s">
        <v>245</v>
      </c>
      <c r="C33" s="576"/>
      <c r="D33" s="577"/>
      <c r="E33" s="593"/>
      <c r="F33" s="593"/>
      <c r="G33" s="577"/>
      <c r="H33" s="577"/>
      <c r="I33" s="398"/>
      <c r="J33" s="602"/>
      <c r="K33" s="4"/>
      <c r="L33" s="53"/>
      <c r="M33" s="65"/>
      <c r="N33" s="65"/>
      <c r="O33" s="69"/>
      <c r="P33" s="357"/>
      <c r="Q33" s="57">
        <f t="shared" si="1"/>
        <v>0</v>
      </c>
      <c r="R33" s="348"/>
      <c r="S33" s="57"/>
      <c r="T33" s="70"/>
      <c r="U33" s="70"/>
      <c r="V33" s="70"/>
      <c r="W33" s="70"/>
    </row>
    <row r="34" spans="1:23" s="2" customFormat="1" ht="12.75" customHeight="1">
      <c r="A34" s="124">
        <v>1328</v>
      </c>
      <c r="B34" s="592" t="s">
        <v>44</v>
      </c>
      <c r="C34" s="576">
        <v>20000</v>
      </c>
      <c r="D34" s="577">
        <v>36664</v>
      </c>
      <c r="E34" s="593">
        <v>30050</v>
      </c>
      <c r="F34" s="593">
        <v>30050</v>
      </c>
      <c r="G34" s="577">
        <v>40000</v>
      </c>
      <c r="H34" s="577">
        <v>12</v>
      </c>
      <c r="I34" s="398">
        <v>7114</v>
      </c>
      <c r="J34" s="602">
        <v>38000</v>
      </c>
      <c r="K34" s="4"/>
      <c r="L34" s="53"/>
      <c r="M34" s="65"/>
      <c r="N34" s="65"/>
      <c r="O34" s="69"/>
      <c r="P34" s="357" t="s">
        <v>244</v>
      </c>
      <c r="Q34" s="57">
        <f t="shared" si="1"/>
        <v>38000</v>
      </c>
      <c r="R34" s="348"/>
      <c r="S34" s="57">
        <v>24000</v>
      </c>
      <c r="T34" s="70"/>
      <c r="U34" s="70"/>
      <c r="V34" s="70"/>
      <c r="W34" s="70"/>
    </row>
    <row r="35" spans="1:23" s="2" customFormat="1" ht="12.75" customHeight="1">
      <c r="A35" s="124">
        <v>1316</v>
      </c>
      <c r="B35" s="592" t="s">
        <v>220</v>
      </c>
      <c r="C35" s="576">
        <v>60000</v>
      </c>
      <c r="D35" s="577">
        <v>148949</v>
      </c>
      <c r="E35" s="593">
        <v>38895</v>
      </c>
      <c r="F35" s="593">
        <v>38895</v>
      </c>
      <c r="G35" s="577">
        <v>50000</v>
      </c>
      <c r="H35" s="577">
        <v>42335</v>
      </c>
      <c r="I35" s="398">
        <v>42335</v>
      </c>
      <c r="J35" s="602">
        <v>60000</v>
      </c>
      <c r="K35" s="4"/>
      <c r="L35" s="53"/>
      <c r="M35" s="65"/>
      <c r="N35" s="65"/>
      <c r="O35" s="69"/>
      <c r="P35" s="357" t="s">
        <v>246</v>
      </c>
      <c r="Q35" s="57">
        <f t="shared" si="1"/>
        <v>60000</v>
      </c>
      <c r="R35" s="348"/>
      <c r="S35" s="57">
        <v>30000</v>
      </c>
      <c r="T35" s="70"/>
      <c r="U35" s="70"/>
      <c r="V35" s="70"/>
      <c r="W35" s="70"/>
    </row>
    <row r="36" spans="1:23" s="2" customFormat="1" ht="12.75" customHeight="1">
      <c r="A36" s="124">
        <v>1208</v>
      </c>
      <c r="B36" s="592" t="s">
        <v>180</v>
      </c>
      <c r="C36" s="576">
        <v>50000</v>
      </c>
      <c r="D36" s="577">
        <v>145055</v>
      </c>
      <c r="E36" s="593">
        <f>C36</f>
        <v>50000</v>
      </c>
      <c r="F36" s="593">
        <v>184574</v>
      </c>
      <c r="G36" s="577">
        <v>123500</v>
      </c>
      <c r="H36" s="577">
        <v>112217</v>
      </c>
      <c r="I36" s="398">
        <v>112217</v>
      </c>
      <c r="J36" s="602">
        <v>155000</v>
      </c>
      <c r="K36" s="4"/>
      <c r="L36" s="53"/>
      <c r="M36" s="65"/>
      <c r="N36" s="65"/>
      <c r="O36" s="69"/>
      <c r="P36" s="357" t="s">
        <v>248</v>
      </c>
      <c r="Q36" s="57">
        <f t="shared" si="1"/>
        <v>155000</v>
      </c>
      <c r="R36" s="348"/>
      <c r="S36" s="57">
        <v>105000</v>
      </c>
      <c r="T36" s="70"/>
      <c r="U36" s="70"/>
      <c r="V36" s="70"/>
      <c r="W36" s="70"/>
    </row>
    <row r="37" spans="1:23" s="2" customFormat="1" ht="12.75" customHeight="1">
      <c r="A37" s="124">
        <v>1322</v>
      </c>
      <c r="B37" s="592" t="s">
        <v>221</v>
      </c>
      <c r="C37" s="576"/>
      <c r="D37" s="577"/>
      <c r="E37" s="593"/>
      <c r="F37" s="593"/>
      <c r="G37" s="577">
        <v>52000</v>
      </c>
      <c r="H37" s="577">
        <v>51462</v>
      </c>
      <c r="I37" s="398">
        <v>51462</v>
      </c>
      <c r="J37" s="602">
        <v>96000</v>
      </c>
      <c r="K37" s="4"/>
      <c r="L37" s="53"/>
      <c r="M37" s="65"/>
      <c r="N37" s="65"/>
      <c r="O37" s="69"/>
      <c r="P37" s="357" t="s">
        <v>249</v>
      </c>
      <c r="Q37" s="57">
        <f t="shared" si="1"/>
        <v>96000</v>
      </c>
      <c r="R37" s="348"/>
      <c r="S37" s="57">
        <v>66000</v>
      </c>
      <c r="T37" s="70"/>
      <c r="U37" s="70"/>
      <c r="V37" s="70"/>
      <c r="W37" s="70"/>
    </row>
    <row r="38" spans="1:23" s="2" customFormat="1" ht="12.75" customHeight="1">
      <c r="A38" s="124">
        <v>1321</v>
      </c>
      <c r="B38" s="592" t="s">
        <v>181</v>
      </c>
      <c r="C38" s="576">
        <v>15000</v>
      </c>
      <c r="D38" s="577">
        <v>15013</v>
      </c>
      <c r="E38" s="593">
        <f>C38</f>
        <v>15000</v>
      </c>
      <c r="F38" s="593">
        <v>15211</v>
      </c>
      <c r="G38" s="577">
        <v>15000</v>
      </c>
      <c r="H38" s="577">
        <v>0</v>
      </c>
      <c r="I38" s="398"/>
      <c r="J38" s="602">
        <v>15000</v>
      </c>
      <c r="K38" s="4"/>
      <c r="L38" s="53"/>
      <c r="M38" s="65"/>
      <c r="N38" s="65"/>
      <c r="O38" s="69"/>
      <c r="P38" s="357" t="s">
        <v>247</v>
      </c>
      <c r="Q38" s="57">
        <f t="shared" si="1"/>
        <v>15000</v>
      </c>
      <c r="R38" s="348"/>
      <c r="S38" s="57"/>
      <c r="T38" s="70"/>
      <c r="U38" s="70"/>
      <c r="V38" s="70"/>
      <c r="W38" s="70"/>
    </row>
    <row r="39" spans="1:23" s="2" customFormat="1" ht="12.75" customHeight="1" hidden="1">
      <c r="A39" s="124">
        <v>1304</v>
      </c>
      <c r="B39" s="592" t="s">
        <v>45</v>
      </c>
      <c r="C39" s="576">
        <v>20000</v>
      </c>
      <c r="D39" s="577">
        <v>9000</v>
      </c>
      <c r="E39" s="593">
        <f>C39</f>
        <v>20000</v>
      </c>
      <c r="F39" s="593">
        <v>20602</v>
      </c>
      <c r="G39" s="577"/>
      <c r="H39" s="577">
        <v>0</v>
      </c>
      <c r="I39" s="398"/>
      <c r="J39" s="602"/>
      <c r="K39" s="4"/>
      <c r="L39" s="53"/>
      <c r="M39" s="65"/>
      <c r="N39" s="65"/>
      <c r="O39" s="69"/>
      <c r="P39" s="357"/>
      <c r="Q39" s="57"/>
      <c r="R39" s="348"/>
      <c r="S39" s="57"/>
      <c r="T39" s="70"/>
      <c r="U39" s="70"/>
      <c r="V39" s="70"/>
      <c r="W39" s="70"/>
    </row>
    <row r="40" spans="1:23" s="2" customFormat="1" ht="12.75" customHeight="1">
      <c r="A40" s="124">
        <v>1320</v>
      </c>
      <c r="B40" s="592" t="s">
        <v>182</v>
      </c>
      <c r="C40" s="576">
        <v>50000</v>
      </c>
      <c r="D40" s="577">
        <v>5500</v>
      </c>
      <c r="E40" s="593">
        <v>54436</v>
      </c>
      <c r="F40" s="593">
        <v>54436</v>
      </c>
      <c r="G40" s="577">
        <v>80000</v>
      </c>
      <c r="H40" s="577">
        <v>1295</v>
      </c>
      <c r="I40" s="398">
        <v>9535</v>
      </c>
      <c r="J40" s="602">
        <f>80000-10000</f>
        <v>70000</v>
      </c>
      <c r="K40" s="4"/>
      <c r="L40" s="53"/>
      <c r="M40" s="65"/>
      <c r="N40" s="65"/>
      <c r="O40" s="69"/>
      <c r="P40" s="357" t="s">
        <v>250</v>
      </c>
      <c r="Q40" s="57">
        <f>J40</f>
        <v>70000</v>
      </c>
      <c r="R40" s="348"/>
      <c r="S40" s="57">
        <v>30000</v>
      </c>
      <c r="T40" s="70"/>
      <c r="U40" s="70"/>
      <c r="V40" s="70"/>
      <c r="W40" s="70"/>
    </row>
    <row r="41" spans="1:23" s="2" customFormat="1" ht="12.75" customHeight="1" hidden="1">
      <c r="A41" s="124"/>
      <c r="B41" s="592" t="s">
        <v>183</v>
      </c>
      <c r="C41" s="576"/>
      <c r="D41" s="577"/>
      <c r="E41" s="593">
        <v>10000</v>
      </c>
      <c r="F41" s="593">
        <v>10000</v>
      </c>
      <c r="G41" s="577"/>
      <c r="H41" s="577"/>
      <c r="I41" s="406"/>
      <c r="J41" s="602"/>
      <c r="K41" s="4"/>
      <c r="L41" s="53"/>
      <c r="M41" s="65"/>
      <c r="N41" s="65"/>
      <c r="O41" s="69"/>
      <c r="P41" s="357"/>
      <c r="Q41" s="57"/>
      <c r="R41" s="348"/>
      <c r="S41" s="57"/>
      <c r="T41" s="70"/>
      <c r="U41" s="70"/>
      <c r="V41" s="70"/>
      <c r="W41" s="70"/>
    </row>
    <row r="42" spans="1:23" s="2" customFormat="1" ht="12.75" customHeight="1">
      <c r="A42" s="124">
        <v>1305</v>
      </c>
      <c r="B42" s="592" t="s">
        <v>343</v>
      </c>
      <c r="C42" s="576">
        <v>20000</v>
      </c>
      <c r="D42" s="577">
        <v>19921</v>
      </c>
      <c r="E42" s="593">
        <f>C42</f>
        <v>20000</v>
      </c>
      <c r="F42" s="593">
        <v>12524</v>
      </c>
      <c r="G42" s="577">
        <v>20000</v>
      </c>
      <c r="H42" s="577">
        <v>7744</v>
      </c>
      <c r="I42" s="398">
        <v>8349</v>
      </c>
      <c r="J42" s="602">
        <v>10000</v>
      </c>
      <c r="K42" s="4"/>
      <c r="L42" s="53"/>
      <c r="M42" s="65"/>
      <c r="N42" s="65"/>
      <c r="O42" s="69"/>
      <c r="P42" s="357" t="s">
        <v>146</v>
      </c>
      <c r="Q42" s="57">
        <f>J42</f>
        <v>10000</v>
      </c>
      <c r="R42" s="348"/>
      <c r="S42" s="57"/>
      <c r="T42" s="70"/>
      <c r="U42" s="70"/>
      <c r="V42" s="70"/>
      <c r="W42" s="70"/>
    </row>
    <row r="43" spans="1:23" s="2" customFormat="1" ht="12.75" customHeight="1">
      <c r="A43" s="124">
        <v>1905</v>
      </c>
      <c r="B43" s="592" t="s">
        <v>186</v>
      </c>
      <c r="C43" s="576"/>
      <c r="D43" s="577"/>
      <c r="E43" s="593">
        <v>40000</v>
      </c>
      <c r="F43" s="593">
        <v>85118</v>
      </c>
      <c r="G43" s="577">
        <v>90000</v>
      </c>
      <c r="H43" s="577">
        <v>70</v>
      </c>
      <c r="I43" s="406">
        <v>6074</v>
      </c>
      <c r="J43" s="602">
        <v>80000</v>
      </c>
      <c r="K43" s="4"/>
      <c r="L43" s="53"/>
      <c r="M43" s="65"/>
      <c r="N43" s="65"/>
      <c r="O43" s="69"/>
      <c r="P43" s="357" t="s">
        <v>255</v>
      </c>
      <c r="Q43" s="57">
        <f>J43</f>
        <v>80000</v>
      </c>
      <c r="R43" s="348"/>
      <c r="S43" s="57"/>
      <c r="T43" s="70"/>
      <c r="U43" s="70"/>
      <c r="V43" s="70"/>
      <c r="W43" s="70"/>
    </row>
    <row r="44" spans="1:23" s="2" customFormat="1" ht="12.75" customHeight="1" hidden="1">
      <c r="A44" s="124"/>
      <c r="B44" s="592" t="s">
        <v>308</v>
      </c>
      <c r="C44" s="576"/>
      <c r="D44" s="577"/>
      <c r="E44" s="593">
        <v>15000</v>
      </c>
      <c r="F44" s="593">
        <v>15000</v>
      </c>
      <c r="G44" s="577"/>
      <c r="H44" s="577"/>
      <c r="I44" s="406"/>
      <c r="J44" s="602"/>
      <c r="K44" s="4"/>
      <c r="L44" s="53"/>
      <c r="M44" s="65"/>
      <c r="N44" s="65"/>
      <c r="O44" s="69"/>
      <c r="P44" s="357"/>
      <c r="Q44" s="57"/>
      <c r="R44" s="348"/>
      <c r="S44" s="57"/>
      <c r="T44" s="70"/>
      <c r="U44" s="70"/>
      <c r="V44" s="70"/>
      <c r="W44" s="70"/>
    </row>
    <row r="45" spans="1:23" s="2" customFormat="1" ht="12.75" customHeight="1">
      <c r="A45" s="124">
        <v>1308</v>
      </c>
      <c r="B45" s="592" t="s">
        <v>317</v>
      </c>
      <c r="C45" s="576"/>
      <c r="D45" s="577"/>
      <c r="E45" s="593"/>
      <c r="F45" s="593">
        <v>86701</v>
      </c>
      <c r="G45" s="577">
        <v>210000</v>
      </c>
      <c r="H45" s="577">
        <v>1984</v>
      </c>
      <c r="I45" s="406">
        <v>194070</v>
      </c>
      <c r="J45" s="602">
        <v>106000</v>
      </c>
      <c r="K45" s="4"/>
      <c r="L45" s="53"/>
      <c r="M45" s="65"/>
      <c r="N45" s="65"/>
      <c r="O45" s="69"/>
      <c r="P45" s="357" t="s">
        <v>251</v>
      </c>
      <c r="Q45" s="57">
        <f aca="true" t="shared" si="2" ref="Q45:Q50">J45</f>
        <v>106000</v>
      </c>
      <c r="R45" s="348"/>
      <c r="S45" s="57">
        <v>6000</v>
      </c>
      <c r="T45" s="70"/>
      <c r="U45" s="70"/>
      <c r="V45" s="70"/>
      <c r="W45" s="70"/>
    </row>
    <row r="46" spans="1:23" s="2" customFormat="1" ht="12.75" customHeight="1" hidden="1">
      <c r="A46" s="124">
        <v>1331</v>
      </c>
      <c r="B46" s="592" t="s">
        <v>254</v>
      </c>
      <c r="C46" s="576"/>
      <c r="D46" s="577"/>
      <c r="E46" s="593"/>
      <c r="F46" s="593"/>
      <c r="G46" s="577">
        <v>90000</v>
      </c>
      <c r="H46" s="577"/>
      <c r="I46" s="406">
        <v>1305</v>
      </c>
      <c r="J46" s="602"/>
      <c r="K46" s="4"/>
      <c r="L46" s="53"/>
      <c r="M46" s="65"/>
      <c r="N46" s="65"/>
      <c r="O46" s="69"/>
      <c r="P46" s="357"/>
      <c r="Q46" s="57">
        <f t="shared" si="2"/>
        <v>0</v>
      </c>
      <c r="R46" s="348"/>
      <c r="S46" s="57"/>
      <c r="T46" s="70"/>
      <c r="U46" s="70"/>
      <c r="V46" s="70"/>
      <c r="W46" s="70"/>
    </row>
    <row r="47" spans="1:23" s="2" customFormat="1" ht="12.75" customHeight="1">
      <c r="A47" s="124"/>
      <c r="B47" s="644" t="s">
        <v>342</v>
      </c>
      <c r="C47" s="576"/>
      <c r="D47" s="577"/>
      <c r="E47" s="593"/>
      <c r="F47" s="593"/>
      <c r="G47" s="577"/>
      <c r="H47" s="577"/>
      <c r="I47" s="406"/>
      <c r="J47" s="602">
        <v>20000</v>
      </c>
      <c r="K47" s="4"/>
      <c r="L47" s="53"/>
      <c r="M47" s="65"/>
      <c r="N47" s="65"/>
      <c r="O47" s="69"/>
      <c r="P47" s="357" t="s">
        <v>252</v>
      </c>
      <c r="Q47" s="57">
        <f t="shared" si="2"/>
        <v>20000</v>
      </c>
      <c r="R47" s="348"/>
      <c r="S47" s="57"/>
      <c r="T47" s="70"/>
      <c r="U47" s="70"/>
      <c r="V47" s="70"/>
      <c r="W47" s="70"/>
    </row>
    <row r="48" spans="1:23" s="2" customFormat="1" ht="12.75" customHeight="1">
      <c r="A48" s="124"/>
      <c r="B48" s="644" t="s">
        <v>344</v>
      </c>
      <c r="C48" s="576"/>
      <c r="D48" s="577"/>
      <c r="E48" s="593"/>
      <c r="F48" s="593"/>
      <c r="G48" s="577"/>
      <c r="H48" s="577"/>
      <c r="I48" s="406"/>
      <c r="J48" s="602">
        <v>10000</v>
      </c>
      <c r="K48" s="4"/>
      <c r="L48" s="53"/>
      <c r="M48" s="65"/>
      <c r="N48" s="65"/>
      <c r="O48" s="69"/>
      <c r="P48" s="357" t="s">
        <v>258</v>
      </c>
      <c r="Q48" s="57">
        <f t="shared" si="2"/>
        <v>10000</v>
      </c>
      <c r="R48" s="348"/>
      <c r="S48" s="57"/>
      <c r="T48" s="70"/>
      <c r="U48" s="70"/>
      <c r="V48" s="70"/>
      <c r="W48" s="70"/>
    </row>
    <row r="49" spans="1:23" s="2" customFormat="1" ht="12.75" customHeight="1" hidden="1">
      <c r="A49" s="124"/>
      <c r="B49" s="689" t="s">
        <v>225</v>
      </c>
      <c r="C49" s="576"/>
      <c r="D49" s="577"/>
      <c r="E49" s="593"/>
      <c r="F49" s="593"/>
      <c r="G49" s="577"/>
      <c r="H49" s="577"/>
      <c r="I49" s="398"/>
      <c r="J49" s="602"/>
      <c r="K49" s="4"/>
      <c r="L49" s="53"/>
      <c r="M49" s="65"/>
      <c r="N49" s="65"/>
      <c r="O49" s="69"/>
      <c r="P49" s="357"/>
      <c r="Q49" s="57">
        <f t="shared" si="2"/>
        <v>0</v>
      </c>
      <c r="R49" s="57"/>
      <c r="S49" s="57"/>
      <c r="T49" s="70"/>
      <c r="U49" s="70"/>
      <c r="V49" s="70"/>
      <c r="W49" s="70"/>
    </row>
    <row r="50" spans="1:23" s="2" customFormat="1" ht="12.75" customHeight="1" hidden="1">
      <c r="A50" s="124"/>
      <c r="B50" s="689" t="s">
        <v>226</v>
      </c>
      <c r="C50" s="576"/>
      <c r="D50" s="577"/>
      <c r="E50" s="593"/>
      <c r="F50" s="593"/>
      <c r="G50" s="577"/>
      <c r="H50" s="577"/>
      <c r="I50" s="398"/>
      <c r="J50" s="602"/>
      <c r="K50" s="4"/>
      <c r="L50" s="53"/>
      <c r="M50" s="65"/>
      <c r="N50" s="65"/>
      <c r="O50" s="69"/>
      <c r="P50" s="357"/>
      <c r="Q50" s="57">
        <f t="shared" si="2"/>
        <v>0</v>
      </c>
      <c r="R50" s="57"/>
      <c r="S50" s="57"/>
      <c r="T50" s="70"/>
      <c r="U50" s="70"/>
      <c r="V50" s="70"/>
      <c r="W50" s="70"/>
    </row>
    <row r="51" spans="1:23" s="2" customFormat="1" ht="12.75" customHeight="1" hidden="1">
      <c r="A51" s="124"/>
      <c r="B51" s="689" t="s">
        <v>184</v>
      </c>
      <c r="C51" s="576"/>
      <c r="D51" s="577">
        <v>57000</v>
      </c>
      <c r="E51" s="593"/>
      <c r="F51" s="593"/>
      <c r="G51" s="577"/>
      <c r="H51" s="577"/>
      <c r="I51" s="398"/>
      <c r="J51" s="602">
        <v>0</v>
      </c>
      <c r="K51" s="4"/>
      <c r="L51" s="53"/>
      <c r="M51" s="65"/>
      <c r="N51" s="65"/>
      <c r="O51" s="69"/>
      <c r="P51" s="357"/>
      <c r="Q51" s="57"/>
      <c r="R51" s="57"/>
      <c r="S51" s="57"/>
      <c r="T51" s="70"/>
      <c r="U51" s="70"/>
      <c r="V51" s="70"/>
      <c r="W51" s="70"/>
    </row>
    <row r="52" spans="1:23" s="2" customFormat="1" ht="12.75" customHeight="1" hidden="1">
      <c r="A52" s="124"/>
      <c r="B52" s="689" t="s">
        <v>185</v>
      </c>
      <c r="C52" s="430"/>
      <c r="D52" s="398">
        <v>393700</v>
      </c>
      <c r="E52" s="404"/>
      <c r="F52" s="397">
        <v>130800</v>
      </c>
      <c r="G52" s="398"/>
      <c r="H52" s="398"/>
      <c r="I52" s="398"/>
      <c r="J52" s="602"/>
      <c r="K52" s="4"/>
      <c r="L52" s="53"/>
      <c r="M52" s="65"/>
      <c r="N52" s="65"/>
      <c r="O52" s="69"/>
      <c r="P52" s="357"/>
      <c r="Q52" s="57"/>
      <c r="R52" s="57"/>
      <c r="S52" s="57"/>
      <c r="T52" s="70"/>
      <c r="U52" s="70"/>
      <c r="V52" s="70"/>
      <c r="W52" s="70"/>
    </row>
    <row r="53" spans="1:23" s="2" customFormat="1" ht="12.75" customHeight="1" hidden="1">
      <c r="A53" s="124"/>
      <c r="B53" s="689" t="s">
        <v>318</v>
      </c>
      <c r="C53" s="430">
        <v>30262</v>
      </c>
      <c r="D53" s="398"/>
      <c r="E53" s="404">
        <f>C53</f>
        <v>30262</v>
      </c>
      <c r="F53" s="404">
        <v>13469</v>
      </c>
      <c r="G53" s="398">
        <v>37644</v>
      </c>
      <c r="H53" s="398"/>
      <c r="I53" s="406"/>
      <c r="J53" s="602"/>
      <c r="K53" s="4"/>
      <c r="L53" s="53"/>
      <c r="M53" s="65"/>
      <c r="N53" s="65"/>
      <c r="O53" s="69"/>
      <c r="P53" s="357"/>
      <c r="Q53" s="57"/>
      <c r="R53" s="57"/>
      <c r="S53" s="57"/>
      <c r="T53" s="70"/>
      <c r="U53" s="70"/>
      <c r="V53" s="70"/>
      <c r="W53" s="70"/>
    </row>
    <row r="54" spans="1:23" s="2" customFormat="1" ht="12.75" customHeight="1" hidden="1">
      <c r="A54" s="124"/>
      <c r="B54" s="689" t="s">
        <v>189</v>
      </c>
      <c r="C54" s="431">
        <v>162594</v>
      </c>
      <c r="D54" s="398"/>
      <c r="E54" s="404">
        <f>C54</f>
        <v>162594</v>
      </c>
      <c r="F54" s="404">
        <v>158546</v>
      </c>
      <c r="G54" s="398">
        <v>677600</v>
      </c>
      <c r="H54" s="398"/>
      <c r="I54" s="406"/>
      <c r="J54" s="602"/>
      <c r="K54" s="4"/>
      <c r="L54" s="53"/>
      <c r="M54" s="65"/>
      <c r="N54" s="65"/>
      <c r="O54" s="69"/>
      <c r="P54" s="357"/>
      <c r="Q54" s="57"/>
      <c r="R54" s="57"/>
      <c r="S54" s="57"/>
      <c r="T54" s="70"/>
      <c r="U54" s="70"/>
      <c r="V54" s="70"/>
      <c r="W54" s="70"/>
    </row>
    <row r="55" spans="1:23" s="2" customFormat="1" ht="12.75" customHeight="1">
      <c r="A55" s="124"/>
      <c r="B55" s="691" t="s">
        <v>362</v>
      </c>
      <c r="C55" s="690"/>
      <c r="D55" s="692"/>
      <c r="E55" s="693"/>
      <c r="F55" s="693"/>
      <c r="G55" s="692"/>
      <c r="H55" s="692"/>
      <c r="I55" s="692"/>
      <c r="J55" s="694">
        <v>50000</v>
      </c>
      <c r="K55" s="4"/>
      <c r="L55" s="53"/>
      <c r="M55" s="65"/>
      <c r="N55" s="65"/>
      <c r="O55" s="69"/>
      <c r="P55" s="688"/>
      <c r="Q55" s="57">
        <f>J55</f>
        <v>50000</v>
      </c>
      <c r="R55" s="57"/>
      <c r="S55" s="57"/>
      <c r="T55" s="70"/>
      <c r="U55" s="70"/>
      <c r="V55" s="70"/>
      <c r="W55" s="70"/>
    </row>
    <row r="56" spans="1:23" s="2" customFormat="1" ht="12.75" customHeight="1">
      <c r="A56" s="124"/>
      <c r="B56" s="691" t="s">
        <v>363</v>
      </c>
      <c r="C56" s="690"/>
      <c r="D56" s="692"/>
      <c r="E56" s="693"/>
      <c r="F56" s="693"/>
      <c r="G56" s="692"/>
      <c r="H56" s="692"/>
      <c r="I56" s="692"/>
      <c r="J56" s="694">
        <v>50000</v>
      </c>
      <c r="K56" s="4"/>
      <c r="L56" s="53"/>
      <c r="M56" s="65"/>
      <c r="N56" s="65"/>
      <c r="O56" s="69"/>
      <c r="P56" s="688"/>
      <c r="Q56" s="57">
        <f>J56</f>
        <v>50000</v>
      </c>
      <c r="R56" s="57"/>
      <c r="S56" s="57"/>
      <c r="T56" s="70"/>
      <c r="U56" s="70"/>
      <c r="V56" s="70"/>
      <c r="W56" s="70"/>
    </row>
    <row r="57" spans="1:23" s="2" customFormat="1" ht="12.75" customHeight="1" thickBot="1">
      <c r="A57" s="124"/>
      <c r="B57" s="536" t="s">
        <v>157</v>
      </c>
      <c r="C57" s="432">
        <v>727935</v>
      </c>
      <c r="D57" s="408">
        <v>710944</v>
      </c>
      <c r="E57" s="407">
        <f>C57</f>
        <v>727935</v>
      </c>
      <c r="F57" s="407">
        <v>680479</v>
      </c>
      <c r="G57" s="408">
        <v>749468</v>
      </c>
      <c r="H57" s="408">
        <v>293555</v>
      </c>
      <c r="I57" s="408">
        <v>342069</v>
      </c>
      <c r="J57" s="603">
        <f>830651-J124-46000</f>
        <v>759885</v>
      </c>
      <c r="K57" s="4"/>
      <c r="L57" s="26"/>
      <c r="M57" s="81"/>
      <c r="N57" s="81"/>
      <c r="O57" s="69"/>
      <c r="P57" s="359" t="s">
        <v>293</v>
      </c>
      <c r="Q57" s="57"/>
      <c r="R57" s="57"/>
      <c r="S57" s="57"/>
      <c r="T57" s="70"/>
      <c r="U57" s="70"/>
      <c r="V57" s="70"/>
      <c r="W57" s="70"/>
    </row>
    <row r="58" spans="1:19" s="11" customFormat="1" ht="14.25" thickBot="1">
      <c r="A58" s="124"/>
      <c r="B58" s="434" t="s">
        <v>2</v>
      </c>
      <c r="C58" s="433">
        <f aca="true" t="shared" si="3" ref="C58:J58">SUM(C7:C57)</f>
        <v>12493975</v>
      </c>
      <c r="D58" s="360">
        <f t="shared" si="3"/>
        <v>12469547</v>
      </c>
      <c r="E58" s="44">
        <f t="shared" si="3"/>
        <v>12888766</v>
      </c>
      <c r="F58" s="44">
        <f t="shared" si="3"/>
        <v>12963019</v>
      </c>
      <c r="G58" s="360">
        <f t="shared" si="3"/>
        <v>13719257</v>
      </c>
      <c r="H58" s="360">
        <f t="shared" si="3"/>
        <v>5235784</v>
      </c>
      <c r="I58" s="360">
        <f t="shared" si="3"/>
        <v>6245701</v>
      </c>
      <c r="J58" s="425">
        <f t="shared" si="3"/>
        <v>14081624</v>
      </c>
      <c r="K58" s="5"/>
      <c r="L58" s="56"/>
      <c r="M58" s="82"/>
      <c r="N58" s="82"/>
      <c r="O58" s="83"/>
      <c r="P58" s="124"/>
      <c r="Q58" s="695">
        <f>SUM(Q12:Q57)</f>
        <v>2978500</v>
      </c>
      <c r="R58" s="7"/>
      <c r="S58" s="695">
        <f>SUM(S12:S57)</f>
        <v>471500</v>
      </c>
    </row>
    <row r="59" spans="1:22" ht="15.75" thickBot="1">
      <c r="A59" s="347"/>
      <c r="B59" s="361"/>
      <c r="C59" s="13"/>
      <c r="D59" s="362"/>
      <c r="E59" s="22"/>
      <c r="F59" s="22"/>
      <c r="G59" s="362"/>
      <c r="H59" s="362"/>
      <c r="I59" s="362"/>
      <c r="J59" s="604"/>
      <c r="K59" s="4"/>
      <c r="L59" s="64"/>
      <c r="M59" s="65"/>
      <c r="N59" s="65"/>
      <c r="O59" s="33"/>
      <c r="Q59" s="7"/>
      <c r="R59" s="7"/>
      <c r="S59" s="7"/>
      <c r="T59" s="10"/>
      <c r="U59" s="10"/>
      <c r="V59" s="10"/>
    </row>
    <row r="60" spans="2:22" ht="15.75" thickBot="1">
      <c r="B60" s="363" t="s">
        <v>3</v>
      </c>
      <c r="C60" s="14"/>
      <c r="D60" s="362"/>
      <c r="E60" s="22"/>
      <c r="F60" s="22"/>
      <c r="G60" s="362"/>
      <c r="H60" s="362"/>
      <c r="I60" s="362"/>
      <c r="J60" s="604"/>
      <c r="K60" s="14"/>
      <c r="L60" s="64"/>
      <c r="M60" s="65"/>
      <c r="N60" s="65"/>
      <c r="O60" s="33"/>
      <c r="Q60" s="7"/>
      <c r="R60" s="7"/>
      <c r="S60" s="7"/>
      <c r="T60" s="10"/>
      <c r="U60" s="5"/>
      <c r="V60" s="10"/>
    </row>
    <row r="61" spans="1:22" s="2" customFormat="1" ht="12.75" customHeight="1">
      <c r="A61" s="124"/>
      <c r="B61" s="525" t="s">
        <v>11</v>
      </c>
      <c r="C61" s="444">
        <v>2500000</v>
      </c>
      <c r="D61" s="437">
        <v>2882256</v>
      </c>
      <c r="E61" s="436">
        <f>C61</f>
        <v>2500000</v>
      </c>
      <c r="F61" s="436">
        <v>2548002</v>
      </c>
      <c r="G61" s="437">
        <v>2680000</v>
      </c>
      <c r="H61" s="437">
        <v>1524300</v>
      </c>
      <c r="I61" s="437">
        <v>1695100</v>
      </c>
      <c r="J61" s="605">
        <v>2948000</v>
      </c>
      <c r="K61" s="26"/>
      <c r="L61" s="30"/>
      <c r="M61" s="65"/>
      <c r="N61" s="65"/>
      <c r="O61" s="69"/>
      <c r="P61" s="356"/>
      <c r="Q61" s="57"/>
      <c r="R61" s="16"/>
      <c r="S61" s="57"/>
      <c r="T61" s="69"/>
      <c r="U61" s="69"/>
      <c r="V61" s="69"/>
    </row>
    <row r="62" spans="1:22" s="2" customFormat="1" ht="12.75" customHeight="1" hidden="1">
      <c r="A62" s="124"/>
      <c r="B62" s="526" t="s">
        <v>227</v>
      </c>
      <c r="C62" s="426"/>
      <c r="D62" s="411"/>
      <c r="E62" s="496"/>
      <c r="F62" s="496"/>
      <c r="G62" s="411"/>
      <c r="H62" s="411"/>
      <c r="I62" s="411"/>
      <c r="J62" s="601"/>
      <c r="K62" s="26"/>
      <c r="L62" s="30"/>
      <c r="M62" s="65"/>
      <c r="N62" s="65"/>
      <c r="O62" s="69"/>
      <c r="P62" s="414"/>
      <c r="Q62" s="57"/>
      <c r="R62" s="16"/>
      <c r="S62" s="57"/>
      <c r="T62" s="69"/>
      <c r="U62" s="69"/>
      <c r="V62" s="69"/>
    </row>
    <row r="63" spans="1:22" s="2" customFormat="1" ht="12.75" customHeight="1" hidden="1">
      <c r="A63" s="124"/>
      <c r="B63" s="527" t="s">
        <v>190</v>
      </c>
      <c r="C63" s="427">
        <v>162594</v>
      </c>
      <c r="D63" s="398"/>
      <c r="E63" s="439">
        <f>C63</f>
        <v>162594</v>
      </c>
      <c r="F63" s="439">
        <v>158546</v>
      </c>
      <c r="G63" s="398">
        <v>677600</v>
      </c>
      <c r="H63" s="398"/>
      <c r="I63" s="406"/>
      <c r="J63" s="602">
        <v>0</v>
      </c>
      <c r="K63" s="26"/>
      <c r="L63" s="30"/>
      <c r="M63" s="65"/>
      <c r="N63" s="65"/>
      <c r="O63" s="69"/>
      <c r="P63" s="357"/>
      <c r="Q63" s="57"/>
      <c r="R63" s="16"/>
      <c r="S63" s="57"/>
      <c r="T63" s="69"/>
      <c r="U63" s="69"/>
      <c r="V63" s="69"/>
    </row>
    <row r="64" spans="1:22" s="2" customFormat="1" ht="12.75" customHeight="1" hidden="1">
      <c r="A64" s="124"/>
      <c r="B64" s="527" t="s">
        <v>192</v>
      </c>
      <c r="C64" s="430">
        <v>30262</v>
      </c>
      <c r="D64" s="398"/>
      <c r="E64" s="439">
        <f>C64</f>
        <v>30262</v>
      </c>
      <c r="F64" s="439">
        <v>0</v>
      </c>
      <c r="G64" s="398">
        <v>37644</v>
      </c>
      <c r="H64" s="398"/>
      <c r="I64" s="406"/>
      <c r="J64" s="602">
        <v>0</v>
      </c>
      <c r="K64" s="53"/>
      <c r="L64" s="30"/>
      <c r="M64" s="65"/>
      <c r="N64" s="65"/>
      <c r="O64" s="69"/>
      <c r="P64" s="357"/>
      <c r="Q64" s="57"/>
      <c r="R64" s="16"/>
      <c r="S64" s="57"/>
      <c r="T64" s="69"/>
      <c r="U64" s="69"/>
      <c r="V64" s="69"/>
    </row>
    <row r="65" spans="1:22" s="2" customFormat="1" ht="12.75" customHeight="1">
      <c r="A65" s="124"/>
      <c r="B65" s="527" t="s">
        <v>12</v>
      </c>
      <c r="C65" s="427">
        <v>20000</v>
      </c>
      <c r="D65" s="398">
        <v>2635</v>
      </c>
      <c r="E65" s="439">
        <f>C65</f>
        <v>20000</v>
      </c>
      <c r="F65" s="439">
        <v>18863</v>
      </c>
      <c r="G65" s="398">
        <v>21000</v>
      </c>
      <c r="H65" s="398">
        <v>16</v>
      </c>
      <c r="I65" s="398"/>
      <c r="J65" s="602">
        <v>23100</v>
      </c>
      <c r="K65" s="26"/>
      <c r="L65" s="30"/>
      <c r="M65" s="65"/>
      <c r="N65" s="65"/>
      <c r="O65" s="69"/>
      <c r="P65" s="357"/>
      <c r="Q65" s="57"/>
      <c r="R65" s="16" t="s">
        <v>263</v>
      </c>
      <c r="S65" s="57"/>
      <c r="T65" s="69"/>
      <c r="U65" s="69"/>
      <c r="V65" s="69"/>
    </row>
    <row r="66" spans="1:22" s="2" customFormat="1" ht="12.75" customHeight="1">
      <c r="A66" s="124"/>
      <c r="B66" s="541" t="s">
        <v>4</v>
      </c>
      <c r="C66" s="542">
        <v>7365189</v>
      </c>
      <c r="D66" s="543">
        <v>6381243</v>
      </c>
      <c r="E66" s="544">
        <v>7425365</v>
      </c>
      <c r="F66" s="544">
        <v>7425365</v>
      </c>
      <c r="G66" s="543">
        <v>7742513</v>
      </c>
      <c r="H66" s="543">
        <v>3185395</v>
      </c>
      <c r="I66" s="543">
        <v>3822474</v>
      </c>
      <c r="J66" s="606">
        <v>8750524</v>
      </c>
      <c r="K66" s="53"/>
      <c r="L66" s="30"/>
      <c r="M66" s="65"/>
      <c r="N66" s="65"/>
      <c r="O66" s="69"/>
      <c r="P66" s="357"/>
      <c r="Q66" s="57"/>
      <c r="R66" s="16"/>
      <c r="S66" s="57"/>
      <c r="T66" s="69"/>
      <c r="U66" s="69"/>
      <c r="V66" s="5"/>
    </row>
    <row r="67" spans="1:22" s="2" customFormat="1" ht="12.75" customHeight="1">
      <c r="A67" s="124"/>
      <c r="B67" s="580" t="s">
        <v>266</v>
      </c>
      <c r="C67" s="581">
        <v>950000</v>
      </c>
      <c r="D67" s="582">
        <v>950000</v>
      </c>
      <c r="E67" s="583">
        <f>C67</f>
        <v>950000</v>
      </c>
      <c r="F67" s="583">
        <v>950000</v>
      </c>
      <c r="G67" s="582">
        <v>950000</v>
      </c>
      <c r="H67" s="582">
        <v>0</v>
      </c>
      <c r="I67" s="582"/>
      <c r="J67" s="607">
        <f>950000+140000</f>
        <v>1090000</v>
      </c>
      <c r="K67" s="53"/>
      <c r="L67" s="30"/>
      <c r="M67" s="65"/>
      <c r="N67" s="65"/>
      <c r="O67" s="69"/>
      <c r="P67" s="357"/>
      <c r="Q67" s="57"/>
      <c r="R67" s="16">
        <f>J67</f>
        <v>1090000</v>
      </c>
      <c r="S67" s="57"/>
      <c r="T67" s="69"/>
      <c r="U67" s="69"/>
      <c r="V67" s="69"/>
    </row>
    <row r="68" spans="1:22" s="2" customFormat="1" ht="12.75" customHeight="1" hidden="1">
      <c r="A68" s="124"/>
      <c r="B68" s="579" t="s">
        <v>311</v>
      </c>
      <c r="C68" s="576"/>
      <c r="D68" s="620"/>
      <c r="E68" s="578">
        <v>130000</v>
      </c>
      <c r="F68" s="578">
        <v>130000</v>
      </c>
      <c r="G68" s="620"/>
      <c r="H68" s="620"/>
      <c r="I68" s="620"/>
      <c r="J68" s="623"/>
      <c r="K68" s="53"/>
      <c r="L68" s="30"/>
      <c r="M68" s="65"/>
      <c r="N68" s="65"/>
      <c r="O68" s="69"/>
      <c r="P68" s="357"/>
      <c r="Q68" s="57"/>
      <c r="S68" s="57"/>
      <c r="T68" s="69"/>
      <c r="U68" s="69"/>
      <c r="V68" s="69"/>
    </row>
    <row r="69" spans="1:22" s="2" customFormat="1" ht="12.75" customHeight="1" hidden="1">
      <c r="A69" s="124"/>
      <c r="B69" s="579" t="s">
        <v>309</v>
      </c>
      <c r="C69" s="576"/>
      <c r="D69" s="620"/>
      <c r="E69" s="578">
        <v>30000</v>
      </c>
      <c r="F69" s="578">
        <v>30000</v>
      </c>
      <c r="G69" s="620">
        <v>50000</v>
      </c>
      <c r="H69" s="620">
        <v>50000</v>
      </c>
      <c r="I69" s="620"/>
      <c r="J69" s="623"/>
      <c r="K69" s="53"/>
      <c r="L69" s="30"/>
      <c r="M69" s="65"/>
      <c r="N69" s="65"/>
      <c r="O69" s="69"/>
      <c r="P69" s="357"/>
      <c r="Q69" s="57"/>
      <c r="R69" s="16"/>
      <c r="S69" s="57"/>
      <c r="T69" s="69"/>
      <c r="U69" s="69"/>
      <c r="V69" s="69"/>
    </row>
    <row r="70" spans="1:22" s="2" customFormat="1" ht="12.75" customHeight="1">
      <c r="A70" s="124"/>
      <c r="B70" s="579" t="s">
        <v>360</v>
      </c>
      <c r="C70" s="576"/>
      <c r="D70" s="620"/>
      <c r="E70" s="578"/>
      <c r="F70" s="578"/>
      <c r="G70" s="620"/>
      <c r="H70" s="620"/>
      <c r="I70" s="620">
        <v>50000</v>
      </c>
      <c r="J70" s="623"/>
      <c r="K70" s="53"/>
      <c r="L70" s="30"/>
      <c r="M70" s="65"/>
      <c r="N70" s="65"/>
      <c r="O70" s="69"/>
      <c r="P70" s="357"/>
      <c r="Q70" s="57"/>
      <c r="R70" s="16"/>
      <c r="S70" s="57"/>
      <c r="T70" s="69"/>
      <c r="U70" s="69"/>
      <c r="V70" s="69"/>
    </row>
    <row r="71" spans="1:22" s="2" customFormat="1" ht="12.75" customHeight="1">
      <c r="A71" s="124"/>
      <c r="B71" s="584" t="s">
        <v>324</v>
      </c>
      <c r="C71" s="581"/>
      <c r="D71" s="582"/>
      <c r="E71" s="583"/>
      <c r="F71" s="583"/>
      <c r="G71" s="582">
        <v>50000</v>
      </c>
      <c r="H71" s="582"/>
      <c r="I71" s="582">
        <v>9000</v>
      </c>
      <c r="J71" s="607">
        <v>50000</v>
      </c>
      <c r="K71" s="53"/>
      <c r="L71" s="30"/>
      <c r="M71" s="65"/>
      <c r="N71" s="65"/>
      <c r="O71" s="69"/>
      <c r="P71" s="357"/>
      <c r="Q71" s="57"/>
      <c r="R71" s="16">
        <f>J71</f>
        <v>50000</v>
      </c>
      <c r="S71" s="57"/>
      <c r="T71" s="69"/>
      <c r="U71" s="69"/>
      <c r="V71" s="69"/>
    </row>
    <row r="72" spans="1:22" s="2" customFormat="1" ht="12.75" customHeight="1">
      <c r="A72" s="124"/>
      <c r="B72" s="585" t="s">
        <v>267</v>
      </c>
      <c r="C72" s="586">
        <v>402930</v>
      </c>
      <c r="D72" s="565">
        <v>340000</v>
      </c>
      <c r="E72" s="566">
        <v>510154</v>
      </c>
      <c r="F72" s="566">
        <v>510154</v>
      </c>
      <c r="G72" s="399"/>
      <c r="H72" s="399"/>
      <c r="I72" s="622"/>
      <c r="J72" s="615">
        <v>0</v>
      </c>
      <c r="K72" s="53"/>
      <c r="L72" s="30"/>
      <c r="M72" s="65"/>
      <c r="N72" s="65"/>
      <c r="O72" s="69"/>
      <c r="P72" s="357"/>
      <c r="Q72" s="57"/>
      <c r="R72" s="16"/>
      <c r="S72" s="57"/>
      <c r="T72" s="69"/>
      <c r="U72" s="69"/>
      <c r="V72" s="69"/>
    </row>
    <row r="73" spans="1:22" s="2" customFormat="1" ht="12.75" customHeight="1" hidden="1">
      <c r="A73" s="124"/>
      <c r="B73" s="585" t="s">
        <v>296</v>
      </c>
      <c r="C73" s="586"/>
      <c r="D73" s="565">
        <v>55000</v>
      </c>
      <c r="E73" s="439"/>
      <c r="F73" s="439"/>
      <c r="G73" s="399"/>
      <c r="H73" s="399"/>
      <c r="I73" s="399"/>
      <c r="J73" s="615"/>
      <c r="K73" s="53"/>
      <c r="L73" s="30"/>
      <c r="M73" s="65"/>
      <c r="N73" s="65"/>
      <c r="O73" s="69"/>
      <c r="P73" s="357"/>
      <c r="Q73" s="57"/>
      <c r="R73" s="16"/>
      <c r="S73" s="57"/>
      <c r="T73" s="69"/>
      <c r="U73" s="69"/>
      <c r="V73" s="69"/>
    </row>
    <row r="74" spans="1:19" s="2" customFormat="1" ht="12.75" customHeight="1">
      <c r="A74" s="124"/>
      <c r="B74" s="588" t="s">
        <v>325</v>
      </c>
      <c r="C74" s="567">
        <v>30000</v>
      </c>
      <c r="D74" s="565">
        <v>42000</v>
      </c>
      <c r="E74" s="566">
        <f>C74</f>
        <v>30000</v>
      </c>
      <c r="F74" s="566">
        <v>30000</v>
      </c>
      <c r="G74" s="565">
        <v>30000</v>
      </c>
      <c r="H74" s="565"/>
      <c r="I74" s="565"/>
      <c r="J74" s="608">
        <v>30000</v>
      </c>
      <c r="K74" s="53"/>
      <c r="L74" s="30"/>
      <c r="M74" s="65"/>
      <c r="N74" s="65"/>
      <c r="O74" s="69"/>
      <c r="P74" s="357"/>
      <c r="Q74" s="57"/>
      <c r="R74" s="16">
        <f aca="true" t="shared" si="4" ref="R74:R105">J74</f>
        <v>30000</v>
      </c>
      <c r="S74" s="57"/>
    </row>
    <row r="75" spans="1:19" s="2" customFormat="1" ht="12.75" customHeight="1" hidden="1">
      <c r="A75" s="124"/>
      <c r="B75" s="588" t="s">
        <v>295</v>
      </c>
      <c r="C75" s="567"/>
      <c r="D75" s="565">
        <v>30000</v>
      </c>
      <c r="E75" s="439"/>
      <c r="F75" s="439"/>
      <c r="G75" s="399"/>
      <c r="H75" s="399"/>
      <c r="I75" s="399"/>
      <c r="J75" s="615"/>
      <c r="K75" s="53"/>
      <c r="L75" s="30"/>
      <c r="M75" s="65"/>
      <c r="N75" s="65"/>
      <c r="O75" s="69"/>
      <c r="P75" s="357"/>
      <c r="Q75" s="57"/>
      <c r="R75" s="16"/>
      <c r="S75" s="57"/>
    </row>
    <row r="76" spans="1:19" s="2" customFormat="1" ht="12.75" customHeight="1">
      <c r="A76" s="124"/>
      <c r="B76" s="589" t="s">
        <v>351</v>
      </c>
      <c r="C76" s="586">
        <v>40000</v>
      </c>
      <c r="D76" s="565">
        <v>40000</v>
      </c>
      <c r="E76" s="566">
        <f>C76</f>
        <v>40000</v>
      </c>
      <c r="F76" s="566">
        <v>40000</v>
      </c>
      <c r="G76" s="565">
        <v>60000</v>
      </c>
      <c r="H76" s="565"/>
      <c r="I76" s="565">
        <v>12000</v>
      </c>
      <c r="J76" s="608">
        <f>60000-30000</f>
        <v>30000</v>
      </c>
      <c r="K76" s="26"/>
      <c r="L76" s="53"/>
      <c r="M76" s="65"/>
      <c r="N76" s="65"/>
      <c r="O76" s="69"/>
      <c r="P76" s="357"/>
      <c r="Q76" s="57"/>
      <c r="R76" s="16">
        <f t="shared" si="4"/>
        <v>30000</v>
      </c>
      <c r="S76" s="57"/>
    </row>
    <row r="77" spans="1:19" s="2" customFormat="1" ht="12.75" customHeight="1">
      <c r="A77" s="124"/>
      <c r="B77" s="590" t="s">
        <v>265</v>
      </c>
      <c r="C77" s="586">
        <v>40000</v>
      </c>
      <c r="D77" s="565">
        <v>40000</v>
      </c>
      <c r="E77" s="566">
        <v>10155</v>
      </c>
      <c r="F77" s="566">
        <v>10155</v>
      </c>
      <c r="G77" s="565">
        <v>25000</v>
      </c>
      <c r="H77" s="565"/>
      <c r="I77" s="565"/>
      <c r="J77" s="608">
        <v>10000</v>
      </c>
      <c r="K77" s="26"/>
      <c r="L77" s="53"/>
      <c r="M77" s="65"/>
      <c r="N77" s="65"/>
      <c r="O77" s="69"/>
      <c r="P77" s="357"/>
      <c r="Q77" s="57"/>
      <c r="R77" s="16">
        <f t="shared" si="4"/>
        <v>10000</v>
      </c>
      <c r="S77" s="57"/>
    </row>
    <row r="78" spans="1:19" s="2" customFormat="1" ht="12.75" customHeight="1">
      <c r="A78" s="124"/>
      <c r="B78" s="590" t="s">
        <v>270</v>
      </c>
      <c r="C78" s="586">
        <v>120000</v>
      </c>
      <c r="D78" s="565">
        <v>135000</v>
      </c>
      <c r="E78" s="566">
        <v>114932</v>
      </c>
      <c r="F78" s="566">
        <v>114932</v>
      </c>
      <c r="G78" s="565">
        <v>130000</v>
      </c>
      <c r="H78" s="565"/>
      <c r="I78" s="565"/>
      <c r="J78" s="608">
        <v>130000</v>
      </c>
      <c r="K78" s="26"/>
      <c r="L78" s="53"/>
      <c r="M78" s="65"/>
      <c r="N78" s="65"/>
      <c r="O78" s="69"/>
      <c r="P78" s="357"/>
      <c r="Q78" s="57"/>
      <c r="R78" s="16">
        <f t="shared" si="4"/>
        <v>130000</v>
      </c>
      <c r="S78" s="57"/>
    </row>
    <row r="79" spans="1:19" s="2" customFormat="1" ht="12.75" customHeight="1">
      <c r="A79" s="124"/>
      <c r="B79" s="590" t="s">
        <v>271</v>
      </c>
      <c r="C79" s="586">
        <v>60000</v>
      </c>
      <c r="D79" s="565">
        <v>60000</v>
      </c>
      <c r="E79" s="566">
        <v>20796</v>
      </c>
      <c r="F79" s="566">
        <v>20796</v>
      </c>
      <c r="G79" s="565">
        <v>30000</v>
      </c>
      <c r="H79" s="565">
        <v>25000</v>
      </c>
      <c r="I79" s="565">
        <v>25000</v>
      </c>
      <c r="J79" s="608">
        <v>30000</v>
      </c>
      <c r="K79" s="26"/>
      <c r="L79" s="53"/>
      <c r="M79" s="65"/>
      <c r="N79" s="65"/>
      <c r="O79" s="69"/>
      <c r="P79" s="357"/>
      <c r="Q79" s="57"/>
      <c r="R79" s="16">
        <f t="shared" si="4"/>
        <v>30000</v>
      </c>
      <c r="S79" s="57"/>
    </row>
    <row r="80" spans="1:19" s="2" customFormat="1" ht="12.75" customHeight="1" hidden="1">
      <c r="A80" s="124"/>
      <c r="B80" s="590" t="s">
        <v>297</v>
      </c>
      <c r="C80" s="586"/>
      <c r="D80" s="565">
        <v>20000</v>
      </c>
      <c r="E80" s="439"/>
      <c r="F80" s="439"/>
      <c r="G80" s="399"/>
      <c r="H80" s="399"/>
      <c r="I80" s="399"/>
      <c r="J80" s="615"/>
      <c r="K80" s="26"/>
      <c r="L80" s="53"/>
      <c r="M80" s="65"/>
      <c r="N80" s="65"/>
      <c r="O80" s="69"/>
      <c r="P80" s="357"/>
      <c r="Q80" s="57"/>
      <c r="R80" s="16"/>
      <c r="S80" s="57"/>
    </row>
    <row r="81" spans="1:19" s="2" customFormat="1" ht="12.75" customHeight="1">
      <c r="A81" s="124"/>
      <c r="B81" s="590" t="s">
        <v>272</v>
      </c>
      <c r="C81" s="586">
        <v>15000</v>
      </c>
      <c r="D81" s="565">
        <v>15000</v>
      </c>
      <c r="E81" s="566">
        <v>14881</v>
      </c>
      <c r="F81" s="566">
        <v>14881</v>
      </c>
      <c r="G81" s="565">
        <v>15000</v>
      </c>
      <c r="H81" s="565"/>
      <c r="I81" s="565"/>
      <c r="J81" s="608">
        <v>15000</v>
      </c>
      <c r="K81" s="26"/>
      <c r="L81" s="53"/>
      <c r="M81" s="65"/>
      <c r="N81" s="65"/>
      <c r="O81" s="69"/>
      <c r="P81" s="357"/>
      <c r="Q81" s="57"/>
      <c r="R81" s="16">
        <f t="shared" si="4"/>
        <v>15000</v>
      </c>
      <c r="S81" s="57"/>
    </row>
    <row r="82" spans="1:19" s="2" customFormat="1" ht="12.75" customHeight="1" hidden="1">
      <c r="A82" s="124"/>
      <c r="B82" s="590" t="s">
        <v>273</v>
      </c>
      <c r="C82" s="586"/>
      <c r="D82" s="565">
        <v>45000</v>
      </c>
      <c r="E82" s="439"/>
      <c r="F82" s="439"/>
      <c r="G82" s="399"/>
      <c r="H82" s="399"/>
      <c r="I82" s="399"/>
      <c r="J82" s="615"/>
      <c r="K82" s="26"/>
      <c r="L82" s="53"/>
      <c r="M82" s="65"/>
      <c r="N82" s="65"/>
      <c r="O82" s="69"/>
      <c r="P82" s="357"/>
      <c r="Q82" s="57"/>
      <c r="R82" s="16"/>
      <c r="S82" s="57"/>
    </row>
    <row r="83" spans="1:19" s="2" customFormat="1" ht="12.75" customHeight="1">
      <c r="A83" s="124"/>
      <c r="B83" s="590" t="s">
        <v>274</v>
      </c>
      <c r="C83" s="586">
        <v>50000</v>
      </c>
      <c r="D83" s="565">
        <v>20000</v>
      </c>
      <c r="E83" s="566">
        <v>7767</v>
      </c>
      <c r="F83" s="566">
        <v>7767</v>
      </c>
      <c r="G83" s="565">
        <v>20000</v>
      </c>
      <c r="H83" s="565"/>
      <c r="I83" s="565"/>
      <c r="J83" s="608">
        <v>20000</v>
      </c>
      <c r="K83" s="26"/>
      <c r="L83" s="53"/>
      <c r="M83" s="65"/>
      <c r="N83" s="65"/>
      <c r="O83" s="69"/>
      <c r="P83" s="357"/>
      <c r="Q83" s="57"/>
      <c r="R83" s="16">
        <f t="shared" si="4"/>
        <v>20000</v>
      </c>
      <c r="S83" s="57"/>
    </row>
    <row r="84" spans="1:19" s="2" customFormat="1" ht="12.75" customHeight="1">
      <c r="A84" s="124"/>
      <c r="B84" s="590" t="s">
        <v>275</v>
      </c>
      <c r="C84" s="581">
        <v>30000</v>
      </c>
      <c r="D84" s="582">
        <v>30000</v>
      </c>
      <c r="E84" s="583">
        <f>C84</f>
        <v>30000</v>
      </c>
      <c r="F84" s="583">
        <v>30000</v>
      </c>
      <c r="G84" s="582">
        <v>20000</v>
      </c>
      <c r="H84" s="582">
        <v>10000</v>
      </c>
      <c r="I84" s="565">
        <v>10000</v>
      </c>
      <c r="J84" s="608">
        <v>20000</v>
      </c>
      <c r="K84" s="26"/>
      <c r="L84" s="53"/>
      <c r="M84" s="65"/>
      <c r="N84" s="65"/>
      <c r="O84" s="69"/>
      <c r="P84" s="357"/>
      <c r="Q84" s="57"/>
      <c r="R84" s="16">
        <f t="shared" si="4"/>
        <v>20000</v>
      </c>
      <c r="S84" s="57"/>
    </row>
    <row r="85" spans="1:19" s="2" customFormat="1" ht="12.75" customHeight="1">
      <c r="A85" s="124"/>
      <c r="B85" s="590" t="s">
        <v>276</v>
      </c>
      <c r="C85" s="581">
        <v>80000</v>
      </c>
      <c r="D85" s="582">
        <v>75000</v>
      </c>
      <c r="E85" s="583">
        <v>184524</v>
      </c>
      <c r="F85" s="583">
        <v>184524</v>
      </c>
      <c r="G85" s="582">
        <v>280000</v>
      </c>
      <c r="H85" s="582">
        <v>140000</v>
      </c>
      <c r="I85" s="565">
        <v>280000</v>
      </c>
      <c r="J85" s="608">
        <v>180000</v>
      </c>
      <c r="K85" s="26"/>
      <c r="L85" s="53"/>
      <c r="M85" s="65"/>
      <c r="N85" s="65"/>
      <c r="O85" s="69"/>
      <c r="P85" s="357"/>
      <c r="Q85" s="57"/>
      <c r="R85" s="16">
        <f t="shared" si="4"/>
        <v>180000</v>
      </c>
      <c r="S85" s="57"/>
    </row>
    <row r="86" spans="1:19" s="2" customFormat="1" ht="12.75" customHeight="1" hidden="1">
      <c r="A86" s="124"/>
      <c r="B86" s="579" t="s">
        <v>178</v>
      </c>
      <c r="C86" s="576"/>
      <c r="D86" s="620"/>
      <c r="E86" s="578">
        <v>50000</v>
      </c>
      <c r="F86" s="578">
        <v>50000</v>
      </c>
      <c r="G86" s="620"/>
      <c r="H86" s="620"/>
      <c r="I86" s="399"/>
      <c r="J86" s="615"/>
      <c r="K86" s="26"/>
      <c r="L86" s="53"/>
      <c r="M86" s="65"/>
      <c r="N86" s="65"/>
      <c r="O86" s="69"/>
      <c r="P86" s="357"/>
      <c r="Q86" s="57"/>
      <c r="R86" s="16"/>
      <c r="S86" s="57"/>
    </row>
    <row r="87" spans="1:19" s="2" customFormat="1" ht="12.75" customHeight="1">
      <c r="A87" s="124"/>
      <c r="B87" s="584" t="s">
        <v>277</v>
      </c>
      <c r="C87" s="581">
        <v>50000</v>
      </c>
      <c r="D87" s="582"/>
      <c r="E87" s="583">
        <f>C87</f>
        <v>50000</v>
      </c>
      <c r="F87" s="583">
        <v>50000</v>
      </c>
      <c r="G87" s="582">
        <v>40500</v>
      </c>
      <c r="H87" s="582">
        <v>50000</v>
      </c>
      <c r="I87" s="565">
        <v>50000</v>
      </c>
      <c r="J87" s="608">
        <v>50000</v>
      </c>
      <c r="K87" s="26"/>
      <c r="L87" s="53"/>
      <c r="M87" s="65"/>
      <c r="N87" s="65"/>
      <c r="O87" s="69"/>
      <c r="P87" s="357"/>
      <c r="Q87" s="57"/>
      <c r="R87" s="16">
        <f t="shared" si="4"/>
        <v>50000</v>
      </c>
      <c r="S87" s="57"/>
    </row>
    <row r="88" spans="1:19" s="2" customFormat="1" ht="12.75" customHeight="1">
      <c r="A88" s="124"/>
      <c r="B88" s="584" t="s">
        <v>278</v>
      </c>
      <c r="C88" s="581"/>
      <c r="D88" s="582"/>
      <c r="E88" s="583"/>
      <c r="F88" s="583"/>
      <c r="G88" s="582">
        <v>0</v>
      </c>
      <c r="H88" s="582">
        <v>50000</v>
      </c>
      <c r="I88" s="565">
        <v>50000</v>
      </c>
      <c r="J88" s="608">
        <v>30000</v>
      </c>
      <c r="K88" s="26"/>
      <c r="L88" s="53"/>
      <c r="M88" s="65"/>
      <c r="N88" s="65"/>
      <c r="O88" s="69"/>
      <c r="P88" s="357"/>
      <c r="Q88" s="57"/>
      <c r="R88" s="16">
        <f t="shared" si="4"/>
        <v>30000</v>
      </c>
      <c r="S88" s="57"/>
    </row>
    <row r="89" spans="1:19" s="2" customFormat="1" ht="12.75" customHeight="1" hidden="1">
      <c r="A89" s="124"/>
      <c r="B89" s="584" t="s">
        <v>279</v>
      </c>
      <c r="C89" s="581">
        <v>20000</v>
      </c>
      <c r="D89" s="582">
        <v>20000</v>
      </c>
      <c r="E89" s="583">
        <f>C89</f>
        <v>20000</v>
      </c>
      <c r="F89" s="583">
        <v>20000</v>
      </c>
      <c r="G89" s="620"/>
      <c r="H89" s="620"/>
      <c r="I89" s="399"/>
      <c r="J89" s="615"/>
      <c r="K89" s="26"/>
      <c r="L89" s="53"/>
      <c r="M89" s="65"/>
      <c r="N89" s="65"/>
      <c r="O89" s="69"/>
      <c r="P89" s="357"/>
      <c r="Q89" s="57"/>
      <c r="R89" s="16"/>
      <c r="S89" s="57"/>
    </row>
    <row r="90" spans="1:19" s="2" customFormat="1" ht="12.75" customHeight="1">
      <c r="A90" s="124"/>
      <c r="B90" s="584" t="s">
        <v>280</v>
      </c>
      <c r="C90" s="581">
        <v>370000</v>
      </c>
      <c r="D90" s="582">
        <v>207999</v>
      </c>
      <c r="E90" s="583">
        <f>C90</f>
        <v>370000</v>
      </c>
      <c r="F90" s="583">
        <v>370000</v>
      </c>
      <c r="G90" s="582">
        <v>370000</v>
      </c>
      <c r="H90" s="582"/>
      <c r="I90" s="565"/>
      <c r="J90" s="608">
        <v>270000</v>
      </c>
      <c r="K90" s="26"/>
      <c r="L90" s="53"/>
      <c r="M90" s="65"/>
      <c r="N90" s="65"/>
      <c r="O90" s="69"/>
      <c r="P90" s="357"/>
      <c r="Q90" s="57"/>
      <c r="R90" s="16">
        <f t="shared" si="4"/>
        <v>270000</v>
      </c>
      <c r="S90" s="57"/>
    </row>
    <row r="91" spans="1:19" s="2" customFormat="1" ht="12.75" customHeight="1">
      <c r="A91" s="124"/>
      <c r="B91" s="584" t="s">
        <v>281</v>
      </c>
      <c r="C91" s="581">
        <v>20000</v>
      </c>
      <c r="D91" s="582">
        <v>8000</v>
      </c>
      <c r="E91" s="583">
        <v>0</v>
      </c>
      <c r="F91" s="583">
        <v>0</v>
      </c>
      <c r="G91" s="582">
        <v>20000</v>
      </c>
      <c r="H91" s="582"/>
      <c r="I91" s="565"/>
      <c r="J91" s="608">
        <v>20000</v>
      </c>
      <c r="K91" s="26"/>
      <c r="L91" s="53"/>
      <c r="M91" s="65"/>
      <c r="N91" s="65"/>
      <c r="O91" s="69"/>
      <c r="P91" s="357"/>
      <c r="Q91" s="57"/>
      <c r="R91" s="16">
        <f t="shared" si="4"/>
        <v>20000</v>
      </c>
      <c r="S91" s="57"/>
    </row>
    <row r="92" spans="1:19" s="2" customFormat="1" ht="12.75" customHeight="1">
      <c r="A92" s="124"/>
      <c r="B92" s="584" t="s">
        <v>282</v>
      </c>
      <c r="C92" s="581">
        <v>50000</v>
      </c>
      <c r="D92" s="582">
        <v>12001</v>
      </c>
      <c r="E92" s="583">
        <v>34336</v>
      </c>
      <c r="F92" s="583">
        <v>34336</v>
      </c>
      <c r="G92" s="582">
        <v>50000</v>
      </c>
      <c r="H92" s="582"/>
      <c r="I92" s="565"/>
      <c r="J92" s="608">
        <f>50000-5000</f>
        <v>45000</v>
      </c>
      <c r="K92" s="26"/>
      <c r="L92" s="53"/>
      <c r="M92" s="65"/>
      <c r="N92" s="65"/>
      <c r="O92" s="69"/>
      <c r="P92" s="357"/>
      <c r="Q92" s="57"/>
      <c r="R92" s="16">
        <f t="shared" si="4"/>
        <v>45000</v>
      </c>
      <c r="S92" s="57"/>
    </row>
    <row r="93" spans="1:19" s="2" customFormat="1" ht="12.75" customHeight="1" hidden="1">
      <c r="A93" s="124"/>
      <c r="B93" s="579" t="s">
        <v>183</v>
      </c>
      <c r="C93" s="576"/>
      <c r="D93" s="620"/>
      <c r="E93" s="578">
        <v>10000</v>
      </c>
      <c r="F93" s="578">
        <v>10000</v>
      </c>
      <c r="G93" s="620"/>
      <c r="H93" s="620"/>
      <c r="I93" s="399"/>
      <c r="J93" s="615"/>
      <c r="K93" s="26"/>
      <c r="L93" s="53"/>
      <c r="M93" s="65"/>
      <c r="N93" s="65"/>
      <c r="O93" s="69"/>
      <c r="P93" s="357"/>
      <c r="Q93" s="57"/>
      <c r="R93" s="16"/>
      <c r="S93" s="57"/>
    </row>
    <row r="94" spans="1:19" s="2" customFormat="1" ht="12.75" customHeight="1">
      <c r="A94" s="124"/>
      <c r="B94" s="584" t="s">
        <v>327</v>
      </c>
      <c r="C94" s="581">
        <v>20000</v>
      </c>
      <c r="D94" s="582">
        <v>20000</v>
      </c>
      <c r="E94" s="583">
        <f>C94</f>
        <v>20000</v>
      </c>
      <c r="F94" s="583">
        <v>20000</v>
      </c>
      <c r="G94" s="582">
        <v>20000</v>
      </c>
      <c r="H94" s="582">
        <v>20000</v>
      </c>
      <c r="I94" s="565">
        <v>20000</v>
      </c>
      <c r="J94" s="608">
        <v>10000</v>
      </c>
      <c r="K94" s="26"/>
      <c r="L94" s="53"/>
      <c r="M94" s="65"/>
      <c r="N94" s="65"/>
      <c r="O94" s="69"/>
      <c r="P94" s="357"/>
      <c r="Q94" s="57"/>
      <c r="R94" s="16">
        <f t="shared" si="4"/>
        <v>10000</v>
      </c>
      <c r="S94" s="57"/>
    </row>
    <row r="95" spans="1:19" s="2" customFormat="1" ht="12.75" customHeight="1">
      <c r="A95" s="124"/>
      <c r="B95" s="584" t="s">
        <v>321</v>
      </c>
      <c r="C95" s="581"/>
      <c r="D95" s="582"/>
      <c r="E95" s="583"/>
      <c r="F95" s="583"/>
      <c r="G95" s="582">
        <v>210000</v>
      </c>
      <c r="H95" s="582"/>
      <c r="I95" s="587">
        <v>210000</v>
      </c>
      <c r="J95" s="608">
        <v>100000</v>
      </c>
      <c r="K95" s="26"/>
      <c r="L95" s="53"/>
      <c r="M95" s="65"/>
      <c r="N95" s="65"/>
      <c r="O95" s="69"/>
      <c r="P95" s="357"/>
      <c r="Q95" s="57"/>
      <c r="R95" s="16">
        <f>J95</f>
        <v>100000</v>
      </c>
      <c r="S95" s="57"/>
    </row>
    <row r="96" spans="1:19" s="2" customFormat="1" ht="12.75" customHeight="1">
      <c r="A96" s="124"/>
      <c r="B96" s="584" t="s">
        <v>320</v>
      </c>
      <c r="C96" s="581"/>
      <c r="D96" s="582"/>
      <c r="E96" s="594">
        <v>40000</v>
      </c>
      <c r="F96" s="594">
        <v>40000</v>
      </c>
      <c r="G96" s="582">
        <v>50000</v>
      </c>
      <c r="H96" s="582"/>
      <c r="I96" s="587">
        <v>0</v>
      </c>
      <c r="J96" s="608">
        <v>50000</v>
      </c>
      <c r="K96" s="26"/>
      <c r="L96" s="53"/>
      <c r="M96" s="65"/>
      <c r="N96" s="65"/>
      <c r="O96" s="69"/>
      <c r="P96" s="357"/>
      <c r="Q96" s="57"/>
      <c r="R96" s="16">
        <f>J96</f>
        <v>50000</v>
      </c>
      <c r="S96" s="57"/>
    </row>
    <row r="97" spans="1:19" s="2" customFormat="1" ht="12.75" customHeight="1" hidden="1">
      <c r="A97" s="124"/>
      <c r="B97" s="579" t="s">
        <v>312</v>
      </c>
      <c r="C97" s="576"/>
      <c r="D97" s="620"/>
      <c r="E97" s="621">
        <v>15000</v>
      </c>
      <c r="F97" s="621">
        <v>15000</v>
      </c>
      <c r="G97" s="620"/>
      <c r="H97" s="620"/>
      <c r="I97" s="622"/>
      <c r="J97" s="615"/>
      <c r="K97" s="26"/>
      <c r="L97" s="53"/>
      <c r="M97" s="65"/>
      <c r="N97" s="65"/>
      <c r="O97" s="69"/>
      <c r="P97" s="357"/>
      <c r="Q97" s="57"/>
      <c r="R97" s="16"/>
      <c r="S97" s="57"/>
    </row>
    <row r="98" spans="1:19" s="2" customFormat="1" ht="12.75" customHeight="1" hidden="1">
      <c r="A98" s="124"/>
      <c r="B98" s="584" t="s">
        <v>284</v>
      </c>
      <c r="C98" s="581"/>
      <c r="D98" s="582"/>
      <c r="E98" s="594"/>
      <c r="F98" s="594"/>
      <c r="G98" s="582"/>
      <c r="H98" s="582"/>
      <c r="I98" s="587"/>
      <c r="J98" s="608"/>
      <c r="K98" s="26"/>
      <c r="L98" s="53"/>
      <c r="M98" s="65"/>
      <c r="N98" s="65"/>
      <c r="O98" s="69"/>
      <c r="P98" s="357"/>
      <c r="Q98" s="57"/>
      <c r="R98" s="16">
        <f t="shared" si="4"/>
        <v>0</v>
      </c>
      <c r="S98" s="57"/>
    </row>
    <row r="99" spans="1:19" s="2" customFormat="1" ht="12.75" customHeight="1">
      <c r="A99" s="124"/>
      <c r="B99" s="625" t="s">
        <v>256</v>
      </c>
      <c r="C99" s="624"/>
      <c r="D99" s="626"/>
      <c r="E99" s="627"/>
      <c r="F99" s="627"/>
      <c r="G99" s="626"/>
      <c r="H99" s="626"/>
      <c r="I99" s="626"/>
      <c r="J99" s="628">
        <v>0</v>
      </c>
      <c r="K99" s="26"/>
      <c r="L99" s="53"/>
      <c r="M99" s="65"/>
      <c r="N99" s="65"/>
      <c r="O99" s="69"/>
      <c r="P99" s="357"/>
      <c r="Q99" s="57"/>
      <c r="R99" s="16">
        <f t="shared" si="4"/>
        <v>0</v>
      </c>
      <c r="S99" s="57"/>
    </row>
    <row r="100" spans="1:19" s="2" customFormat="1" ht="12.75" customHeight="1" hidden="1">
      <c r="A100" s="124"/>
      <c r="B100" s="584" t="s">
        <v>285</v>
      </c>
      <c r="C100" s="581"/>
      <c r="D100" s="582"/>
      <c r="E100" s="594"/>
      <c r="F100" s="594"/>
      <c r="G100" s="582">
        <v>90000</v>
      </c>
      <c r="H100" s="620"/>
      <c r="I100" s="622"/>
      <c r="J100" s="615"/>
      <c r="K100" s="26"/>
      <c r="L100" s="53"/>
      <c r="M100" s="65"/>
      <c r="N100" s="65"/>
      <c r="O100" s="69"/>
      <c r="P100" s="357"/>
      <c r="Q100" s="57"/>
      <c r="R100" s="16">
        <f t="shared" si="4"/>
        <v>0</v>
      </c>
      <c r="S100" s="57"/>
    </row>
    <row r="101" spans="1:19" s="2" customFormat="1" ht="12.75" customHeight="1">
      <c r="A101" s="124"/>
      <c r="B101" s="584" t="s">
        <v>319</v>
      </c>
      <c r="C101" s="581"/>
      <c r="D101" s="582"/>
      <c r="E101" s="594"/>
      <c r="F101" s="594"/>
      <c r="G101" s="582">
        <v>50000</v>
      </c>
      <c r="H101" s="582">
        <v>10000</v>
      </c>
      <c r="I101" s="587">
        <v>22000</v>
      </c>
      <c r="J101" s="608">
        <v>50000</v>
      </c>
      <c r="K101" s="26"/>
      <c r="L101" s="53"/>
      <c r="M101" s="65"/>
      <c r="N101" s="65"/>
      <c r="O101" s="69"/>
      <c r="P101" s="357"/>
      <c r="Q101" s="57"/>
      <c r="R101" s="16">
        <f t="shared" si="4"/>
        <v>50000</v>
      </c>
      <c r="S101" s="57"/>
    </row>
    <row r="102" spans="1:19" s="2" customFormat="1" ht="12.75" customHeight="1">
      <c r="A102" s="124"/>
      <c r="B102" s="625" t="s">
        <v>326</v>
      </c>
      <c r="C102" s="624"/>
      <c r="D102" s="626"/>
      <c r="E102" s="627"/>
      <c r="F102" s="627"/>
      <c r="G102" s="626"/>
      <c r="H102" s="626"/>
      <c r="I102" s="626"/>
      <c r="J102" s="628">
        <v>20000</v>
      </c>
      <c r="K102" s="26"/>
      <c r="L102" s="53"/>
      <c r="M102" s="65"/>
      <c r="N102" s="65"/>
      <c r="O102" s="69"/>
      <c r="P102" s="357"/>
      <c r="Q102" s="57"/>
      <c r="R102" s="16">
        <f t="shared" si="4"/>
        <v>20000</v>
      </c>
      <c r="S102" s="57"/>
    </row>
    <row r="103" spans="1:19" s="2" customFormat="1" ht="12.75" customHeight="1">
      <c r="A103" s="124"/>
      <c r="B103" s="625" t="s">
        <v>328</v>
      </c>
      <c r="C103" s="624"/>
      <c r="D103" s="626"/>
      <c r="E103" s="627"/>
      <c r="F103" s="627"/>
      <c r="G103" s="626"/>
      <c r="H103" s="626"/>
      <c r="I103" s="626"/>
      <c r="J103" s="628">
        <v>10000</v>
      </c>
      <c r="K103" s="4"/>
      <c r="L103" s="53"/>
      <c r="M103" s="65"/>
      <c r="N103" s="65"/>
      <c r="O103" s="69"/>
      <c r="P103" s="357"/>
      <c r="Q103" s="57"/>
      <c r="R103" s="16">
        <f t="shared" si="4"/>
        <v>10000</v>
      </c>
      <c r="S103" s="57"/>
    </row>
    <row r="104" spans="1:19" s="2" customFormat="1" ht="12.75" customHeight="1">
      <c r="A104" s="124"/>
      <c r="B104" s="691" t="s">
        <v>365</v>
      </c>
      <c r="C104" s="624"/>
      <c r="D104" s="626"/>
      <c r="E104" s="627"/>
      <c r="F104" s="627"/>
      <c r="G104" s="626"/>
      <c r="H104" s="626"/>
      <c r="I104" s="626"/>
      <c r="J104" s="628">
        <v>50000</v>
      </c>
      <c r="K104" s="4"/>
      <c r="L104" s="53"/>
      <c r="M104" s="65"/>
      <c r="N104" s="65"/>
      <c r="O104" s="69"/>
      <c r="P104" s="357"/>
      <c r="Q104" s="57"/>
      <c r="R104" s="16">
        <f t="shared" si="4"/>
        <v>50000</v>
      </c>
      <c r="S104" s="57"/>
    </row>
    <row r="105" spans="1:19" s="2" customFormat="1" ht="12.75" customHeight="1">
      <c r="A105" s="124"/>
      <c r="B105" s="691" t="s">
        <v>364</v>
      </c>
      <c r="C105" s="624"/>
      <c r="D105" s="626"/>
      <c r="E105" s="627"/>
      <c r="F105" s="627"/>
      <c r="G105" s="626"/>
      <c r="H105" s="626"/>
      <c r="I105" s="626"/>
      <c r="J105" s="628">
        <v>50000</v>
      </c>
      <c r="K105" s="4"/>
      <c r="L105" s="53"/>
      <c r="M105" s="65"/>
      <c r="N105" s="65"/>
      <c r="O105" s="69"/>
      <c r="P105" s="357"/>
      <c r="Q105" s="57"/>
      <c r="R105" s="16">
        <f t="shared" si="4"/>
        <v>50000</v>
      </c>
      <c r="S105" s="57"/>
    </row>
    <row r="106" spans="1:19" s="2" customFormat="1" ht="12.75" customHeight="1" thickBot="1">
      <c r="A106" s="124"/>
      <c r="B106" s="579" t="s">
        <v>323</v>
      </c>
      <c r="C106" s="576"/>
      <c r="D106" s="577">
        <f>130000+90000+30000+100000+57000+393700+15000</f>
        <v>815700</v>
      </c>
      <c r="E106" s="578"/>
      <c r="F106" s="578">
        <v>155382</v>
      </c>
      <c r="G106" s="577"/>
      <c r="H106" s="577"/>
      <c r="I106" s="406">
        <v>70420</v>
      </c>
      <c r="J106" s="602">
        <v>0</v>
      </c>
      <c r="K106" s="26"/>
      <c r="L106" s="53"/>
      <c r="M106" s="65"/>
      <c r="N106" s="65"/>
      <c r="O106" s="69"/>
      <c r="P106" s="357"/>
      <c r="Q106" s="57"/>
      <c r="R106" s="16"/>
      <c r="S106" s="57"/>
    </row>
    <row r="107" spans="1:19" s="2" customFormat="1" ht="12.75" customHeight="1" hidden="1">
      <c r="A107" s="124"/>
      <c r="B107" s="579"/>
      <c r="C107" s="576"/>
      <c r="D107" s="577"/>
      <c r="E107" s="578"/>
      <c r="F107" s="578"/>
      <c r="G107" s="577"/>
      <c r="H107" s="577"/>
      <c r="I107" s="398"/>
      <c r="J107" s="602"/>
      <c r="K107" s="26"/>
      <c r="L107" s="53"/>
      <c r="M107" s="65"/>
      <c r="N107" s="65"/>
      <c r="O107" s="69"/>
      <c r="P107" s="357"/>
      <c r="Q107" s="57"/>
      <c r="R107" s="16"/>
      <c r="S107" s="57"/>
    </row>
    <row r="108" spans="1:19" s="2" customFormat="1" ht="12.75" customHeight="1" hidden="1">
      <c r="A108" s="124"/>
      <c r="B108" s="579"/>
      <c r="C108" s="429"/>
      <c r="D108" s="406"/>
      <c r="E108" s="441"/>
      <c r="F108" s="441"/>
      <c r="G108" s="406"/>
      <c r="H108" s="406"/>
      <c r="I108" s="406"/>
      <c r="J108" s="602"/>
      <c r="K108" s="26"/>
      <c r="L108" s="53"/>
      <c r="M108" s="65"/>
      <c r="N108" s="65"/>
      <c r="O108" s="69"/>
      <c r="P108" s="357"/>
      <c r="Q108" s="57"/>
      <c r="R108" s="16"/>
      <c r="S108" s="57"/>
    </row>
    <row r="109" spans="1:19" s="2" customFormat="1" ht="12.75" customHeight="1" hidden="1">
      <c r="A109" s="124"/>
      <c r="B109" s="579"/>
      <c r="C109" s="429"/>
      <c r="D109" s="406"/>
      <c r="E109" s="441"/>
      <c r="F109" s="441"/>
      <c r="G109" s="406"/>
      <c r="H109" s="406"/>
      <c r="I109" s="406"/>
      <c r="J109" s="602"/>
      <c r="K109" s="26"/>
      <c r="L109" s="53"/>
      <c r="M109" s="65"/>
      <c r="N109" s="65"/>
      <c r="O109" s="69"/>
      <c r="P109" s="357"/>
      <c r="Q109" s="57"/>
      <c r="R109" s="16"/>
      <c r="S109" s="57"/>
    </row>
    <row r="110" spans="1:19" s="2" customFormat="1" ht="12.75" customHeight="1" hidden="1">
      <c r="A110" s="124"/>
      <c r="B110" s="579"/>
      <c r="C110" s="429"/>
      <c r="D110" s="406"/>
      <c r="E110" s="441"/>
      <c r="F110" s="441"/>
      <c r="G110" s="406"/>
      <c r="H110" s="406"/>
      <c r="I110" s="406"/>
      <c r="J110" s="602"/>
      <c r="K110" s="26"/>
      <c r="L110" s="53"/>
      <c r="M110" s="65"/>
      <c r="N110" s="65"/>
      <c r="O110" s="69"/>
      <c r="P110" s="357"/>
      <c r="Q110" s="57"/>
      <c r="R110" s="16"/>
      <c r="S110" s="57"/>
    </row>
    <row r="111" spans="1:19" s="108" customFormat="1" ht="12.75" customHeight="1" hidden="1" thickBot="1">
      <c r="A111" s="284"/>
      <c r="B111" s="678" t="s">
        <v>53</v>
      </c>
      <c r="C111" s="679">
        <v>68000</v>
      </c>
      <c r="D111" s="680">
        <v>68067</v>
      </c>
      <c r="E111" s="681">
        <v>68000</v>
      </c>
      <c r="F111" s="681"/>
      <c r="G111" s="680"/>
      <c r="H111" s="680"/>
      <c r="I111" s="680"/>
      <c r="J111" s="682"/>
      <c r="K111" s="26"/>
      <c r="L111" s="53"/>
      <c r="M111" s="81"/>
      <c r="N111" s="81"/>
      <c r="O111" s="70"/>
      <c r="P111" s="394"/>
      <c r="Q111" s="57"/>
      <c r="R111" s="16"/>
      <c r="S111" s="57"/>
    </row>
    <row r="112" spans="1:19" s="11" customFormat="1" ht="14.25" thickBot="1">
      <c r="A112" s="124"/>
      <c r="B112" s="460" t="s">
        <v>13</v>
      </c>
      <c r="C112" s="683">
        <f aca="true" t="shared" si="5" ref="C112:J112">SUM(C61:C111)</f>
        <v>12493975</v>
      </c>
      <c r="D112" s="360">
        <f t="shared" si="5"/>
        <v>12314901</v>
      </c>
      <c r="E112" s="684">
        <f t="shared" si="5"/>
        <v>12888766</v>
      </c>
      <c r="F112" s="684">
        <f t="shared" si="5"/>
        <v>12988703</v>
      </c>
      <c r="G112" s="360">
        <f t="shared" si="5"/>
        <v>13719257</v>
      </c>
      <c r="H112" s="360">
        <f t="shared" si="5"/>
        <v>5064711</v>
      </c>
      <c r="I112" s="360">
        <f t="shared" si="5"/>
        <v>6325994</v>
      </c>
      <c r="J112" s="360">
        <f t="shared" si="5"/>
        <v>14081624</v>
      </c>
      <c r="K112" s="433"/>
      <c r="L112" s="433"/>
      <c r="M112" s="685"/>
      <c r="N112" s="685"/>
      <c r="O112" s="686"/>
      <c r="P112" s="687"/>
      <c r="Q112" s="52"/>
      <c r="R112" s="501">
        <f>SUM(R67:R111)</f>
        <v>2360000</v>
      </c>
      <c r="S112" s="134"/>
    </row>
    <row r="113" spans="1:19" s="11" customFormat="1" ht="9" customHeight="1" thickBot="1">
      <c r="A113" s="124"/>
      <c r="B113" s="327"/>
      <c r="C113" s="366"/>
      <c r="D113" s="367"/>
      <c r="E113" s="5"/>
      <c r="F113" s="5"/>
      <c r="G113" s="367"/>
      <c r="H113" s="367"/>
      <c r="I113" s="367"/>
      <c r="J113" s="609"/>
      <c r="K113" s="56"/>
      <c r="L113" s="56"/>
      <c r="M113" s="82"/>
      <c r="N113" s="82"/>
      <c r="O113" s="83"/>
      <c r="P113" s="124"/>
      <c r="Q113" s="52"/>
      <c r="R113" s="16"/>
      <c r="S113" s="134"/>
    </row>
    <row r="114" spans="1:19" s="11" customFormat="1" ht="15" thickBot="1" thickTop="1">
      <c r="A114" s="124"/>
      <c r="B114" s="340" t="s">
        <v>167</v>
      </c>
      <c r="C114" s="341"/>
      <c r="D114" s="343">
        <f aca="true" t="shared" si="6" ref="D114:J114">D112-D58</f>
        <v>-154646</v>
      </c>
      <c r="E114" s="343">
        <f t="shared" si="6"/>
        <v>0</v>
      </c>
      <c r="F114" s="343">
        <f t="shared" si="6"/>
        <v>25684</v>
      </c>
      <c r="G114" s="343">
        <f t="shared" si="6"/>
        <v>0</v>
      </c>
      <c r="H114" s="343">
        <f t="shared" si="6"/>
        <v>-171073</v>
      </c>
      <c r="I114" s="343">
        <f t="shared" si="6"/>
        <v>80293</v>
      </c>
      <c r="J114" s="610">
        <f t="shared" si="6"/>
        <v>0</v>
      </c>
      <c r="K114" s="56"/>
      <c r="L114" s="56"/>
      <c r="M114" s="82"/>
      <c r="N114" s="82"/>
      <c r="O114" s="83"/>
      <c r="P114" s="124"/>
      <c r="Q114" s="52"/>
      <c r="R114" s="16"/>
      <c r="S114" s="134"/>
    </row>
    <row r="115" spans="2:19" ht="8.25" customHeight="1" thickTop="1">
      <c r="B115" s="67"/>
      <c r="C115" s="67"/>
      <c r="D115" s="67"/>
      <c r="E115" s="67"/>
      <c r="F115" s="67"/>
      <c r="G115" s="368"/>
      <c r="H115" s="368"/>
      <c r="I115" s="368"/>
      <c r="R115" s="28"/>
      <c r="S115" s="134"/>
    </row>
    <row r="116" spans="2:19" ht="18" thickBot="1">
      <c r="B116" s="874" t="s">
        <v>14</v>
      </c>
      <c r="C116" s="874"/>
      <c r="D116" s="874"/>
      <c r="E116" s="874"/>
      <c r="F116" s="874"/>
      <c r="G116" s="874"/>
      <c r="H116" s="874"/>
      <c r="I116" s="874"/>
      <c r="J116" s="874"/>
      <c r="K116" s="874"/>
      <c r="L116" s="874"/>
      <c r="R116" s="29"/>
      <c r="S116" s="134"/>
    </row>
    <row r="117" spans="2:19" ht="15">
      <c r="B117" s="454" t="s">
        <v>0</v>
      </c>
      <c r="C117" s="93" t="s">
        <v>299</v>
      </c>
      <c r="D117" s="350" t="s">
        <v>137</v>
      </c>
      <c r="E117" s="93" t="s">
        <v>299</v>
      </c>
      <c r="F117" s="350" t="s">
        <v>137</v>
      </c>
      <c r="G117" s="93" t="s">
        <v>299</v>
      </c>
      <c r="H117" s="350" t="s">
        <v>338</v>
      </c>
      <c r="I117" s="350" t="s">
        <v>338</v>
      </c>
      <c r="J117" s="598" t="s">
        <v>165</v>
      </c>
      <c r="K117" s="9"/>
      <c r="L117" s="36"/>
      <c r="M117" s="1"/>
      <c r="N117" s="1"/>
      <c r="O117" s="41"/>
      <c r="P117" s="351" t="s">
        <v>136</v>
      </c>
      <c r="R117" s="135"/>
      <c r="S117" s="134"/>
    </row>
    <row r="118" spans="2:21" ht="15.75" thickBot="1">
      <c r="B118" s="455"/>
      <c r="C118" s="539">
        <v>2015</v>
      </c>
      <c r="D118" s="353">
        <v>2015</v>
      </c>
      <c r="E118" s="540">
        <v>2016</v>
      </c>
      <c r="F118" s="540">
        <v>2016</v>
      </c>
      <c r="G118" s="353">
        <v>2017</v>
      </c>
      <c r="H118" s="418" t="s">
        <v>339</v>
      </c>
      <c r="I118" s="418" t="s">
        <v>359</v>
      </c>
      <c r="J118" s="599" t="s">
        <v>300</v>
      </c>
      <c r="K118" s="9"/>
      <c r="L118" s="36"/>
      <c r="M118" s="1"/>
      <c r="N118" s="1"/>
      <c r="O118" s="41"/>
      <c r="P118" s="355"/>
      <c r="R118" s="29"/>
      <c r="S118" s="134"/>
      <c r="T118" s="29"/>
      <c r="U118" s="29"/>
    </row>
    <row r="119" spans="1:21" s="2" customFormat="1" ht="12.75" customHeight="1">
      <c r="A119" s="124"/>
      <c r="B119" s="456" t="s">
        <v>322</v>
      </c>
      <c r="C119" s="452">
        <v>169000</v>
      </c>
      <c r="D119" s="437">
        <v>42335</v>
      </c>
      <c r="E119" s="448">
        <v>50000</v>
      </c>
      <c r="F119" s="448">
        <v>40506</v>
      </c>
      <c r="G119" s="437">
        <v>47100</v>
      </c>
      <c r="H119" s="437">
        <v>27252</v>
      </c>
      <c r="I119" s="437">
        <v>13552</v>
      </c>
      <c r="J119" s="605">
        <v>45000</v>
      </c>
      <c r="K119" s="4"/>
      <c r="L119" s="30"/>
      <c r="P119" s="356"/>
      <c r="R119" s="70"/>
      <c r="S119" s="134"/>
      <c r="T119" s="70"/>
      <c r="U119" s="70"/>
    </row>
    <row r="120" spans="1:21" s="2" customFormat="1" ht="12.75" customHeight="1">
      <c r="A120" s="124"/>
      <c r="B120" s="457" t="s">
        <v>314</v>
      </c>
      <c r="C120" s="430"/>
      <c r="D120" s="398">
        <v>20088</v>
      </c>
      <c r="E120" s="397">
        <v>11000</v>
      </c>
      <c r="F120" s="397">
        <v>17147</v>
      </c>
      <c r="G120" s="398">
        <v>17300</v>
      </c>
      <c r="H120" s="398">
        <v>7095</v>
      </c>
      <c r="I120" s="398">
        <v>9915</v>
      </c>
      <c r="J120" s="602">
        <v>18000</v>
      </c>
      <c r="K120" s="4"/>
      <c r="L120" s="30"/>
      <c r="P120" s="357"/>
      <c r="R120" s="70"/>
      <c r="S120" s="134"/>
      <c r="T120" s="70"/>
      <c r="U120" s="70"/>
    </row>
    <row r="121" spans="1:21" s="2" customFormat="1" ht="12.75" customHeight="1">
      <c r="A121" s="124"/>
      <c r="B121" s="457" t="s">
        <v>313</v>
      </c>
      <c r="C121" s="430"/>
      <c r="D121" s="398">
        <v>88894</v>
      </c>
      <c r="E121" s="397">
        <v>108000</v>
      </c>
      <c r="F121" s="397">
        <v>93886</v>
      </c>
      <c r="G121" s="398">
        <v>113300</v>
      </c>
      <c r="H121" s="398">
        <v>49601</v>
      </c>
      <c r="I121" s="398">
        <v>50557</v>
      </c>
      <c r="J121" s="602">
        <v>115000</v>
      </c>
      <c r="K121" s="4"/>
      <c r="L121" s="30"/>
      <c r="P121" s="358"/>
      <c r="R121" s="70"/>
      <c r="S121" s="134"/>
      <c r="T121" s="70"/>
      <c r="U121" s="70"/>
    </row>
    <row r="122" spans="1:21" s="2" customFormat="1" ht="12.75" customHeight="1">
      <c r="A122" s="124"/>
      <c r="B122" s="458" t="s">
        <v>1</v>
      </c>
      <c r="C122" s="430">
        <v>25000</v>
      </c>
      <c r="D122" s="398">
        <v>0</v>
      </c>
      <c r="E122" s="595">
        <f>C122</f>
        <v>25000</v>
      </c>
      <c r="F122" s="595">
        <v>960</v>
      </c>
      <c r="G122" s="398">
        <v>20000</v>
      </c>
      <c r="H122" s="398">
        <v>0</v>
      </c>
      <c r="I122" s="398"/>
      <c r="J122" s="602">
        <f>20000-5000</f>
        <v>15000</v>
      </c>
      <c r="K122" s="4"/>
      <c r="L122" s="30"/>
      <c r="P122" s="357"/>
      <c r="R122" s="70"/>
      <c r="S122" s="134"/>
      <c r="T122" s="70"/>
      <c r="U122" s="70"/>
    </row>
    <row r="123" spans="1:21" s="2" customFormat="1" ht="12.75" customHeight="1" hidden="1">
      <c r="A123" s="124"/>
      <c r="B123" s="458" t="s">
        <v>197</v>
      </c>
      <c r="C123" s="430"/>
      <c r="D123" s="398">
        <v>5857</v>
      </c>
      <c r="E123" s="595">
        <v>197957</v>
      </c>
      <c r="F123" s="595">
        <v>197957</v>
      </c>
      <c r="G123" s="398"/>
      <c r="H123" s="398"/>
      <c r="I123" s="399"/>
      <c r="J123" s="602"/>
      <c r="K123" s="4"/>
      <c r="L123" s="30"/>
      <c r="P123" s="357"/>
      <c r="R123" s="70"/>
      <c r="S123" s="134"/>
      <c r="T123" s="70"/>
      <c r="U123" s="70"/>
    </row>
    <row r="124" spans="1:21" s="2" customFormat="1" ht="12.75" customHeight="1">
      <c r="A124" s="124"/>
      <c r="B124" s="458" t="s">
        <v>198</v>
      </c>
      <c r="C124" s="430"/>
      <c r="D124" s="398"/>
      <c r="E124" s="595"/>
      <c r="F124" s="595">
        <v>12364</v>
      </c>
      <c r="G124" s="398">
        <v>24960</v>
      </c>
      <c r="H124" s="398">
        <v>10358</v>
      </c>
      <c r="I124" s="399">
        <v>12402</v>
      </c>
      <c r="J124" s="602">
        <f>3275+1194+1943+1429+593+589+589+589+589+589+589+589+589+589+589+589+589+248+124+454+454+454+454+556+556+184+184+539+108+120+2011+311+311+311+311+311+311+311+311+311+19</f>
        <v>24766</v>
      </c>
      <c r="K124" s="4"/>
      <c r="L124" s="30"/>
      <c r="P124" s="357"/>
      <c r="R124" s="70"/>
      <c r="S124" s="134"/>
      <c r="T124" s="70"/>
      <c r="U124" s="70"/>
    </row>
    <row r="125" spans="1:21" s="2" customFormat="1" ht="12.75" customHeight="1">
      <c r="A125" s="124"/>
      <c r="B125" s="458" t="s">
        <v>8</v>
      </c>
      <c r="C125" s="430">
        <v>6000</v>
      </c>
      <c r="D125" s="398">
        <v>25</v>
      </c>
      <c r="E125" s="595">
        <f>C125</f>
        <v>6000</v>
      </c>
      <c r="F125" s="595">
        <v>17800</v>
      </c>
      <c r="G125" s="398">
        <v>6200</v>
      </c>
      <c r="H125" s="398">
        <v>3011</v>
      </c>
      <c r="I125" s="398">
        <v>3011</v>
      </c>
      <c r="J125" s="602">
        <v>7000</v>
      </c>
      <c r="K125" s="4"/>
      <c r="L125" s="26"/>
      <c r="P125" s="357"/>
      <c r="R125" s="70"/>
      <c r="S125" s="134"/>
      <c r="T125" s="70"/>
      <c r="U125" s="70"/>
    </row>
    <row r="126" spans="1:21" s="2" customFormat="1" ht="12.75" customHeight="1">
      <c r="A126" s="124"/>
      <c r="B126" s="458" t="s">
        <v>16</v>
      </c>
      <c r="C126" s="430">
        <v>95000</v>
      </c>
      <c r="D126" s="398">
        <v>56433</v>
      </c>
      <c r="E126" s="595">
        <v>235800</v>
      </c>
      <c r="F126" s="595">
        <v>205254</v>
      </c>
      <c r="G126" s="398">
        <v>280000</v>
      </c>
      <c r="H126" s="398">
        <v>34311</v>
      </c>
      <c r="I126" s="398">
        <v>35590</v>
      </c>
      <c r="J126" s="602">
        <v>100000</v>
      </c>
      <c r="K126" s="4"/>
      <c r="L126" s="30"/>
      <c r="P126" s="357"/>
      <c r="R126" s="70"/>
      <c r="S126" s="134"/>
      <c r="T126" s="70"/>
      <c r="U126" s="70"/>
    </row>
    <row r="127" spans="1:21" s="2" customFormat="1" ht="12.75" customHeight="1" thickBot="1">
      <c r="A127" s="124"/>
      <c r="B127" s="549" t="s">
        <v>10</v>
      </c>
      <c r="C127" s="550">
        <v>319340</v>
      </c>
      <c r="D127" s="551">
        <v>287854</v>
      </c>
      <c r="E127" s="552">
        <v>319826</v>
      </c>
      <c r="F127" s="552">
        <v>298092</v>
      </c>
      <c r="G127" s="551">
        <v>442295</v>
      </c>
      <c r="H127" s="551">
        <v>143190</v>
      </c>
      <c r="I127" s="551">
        <v>180034</v>
      </c>
      <c r="J127" s="612">
        <v>590481</v>
      </c>
      <c r="K127" s="4"/>
      <c r="L127" s="30"/>
      <c r="P127" s="359"/>
      <c r="Q127" s="70"/>
      <c r="R127" s="70"/>
      <c r="S127" s="500"/>
      <c r="T127" s="70"/>
      <c r="U127" s="70"/>
    </row>
    <row r="128" spans="1:21" s="11" customFormat="1" ht="14.25" thickBot="1">
      <c r="A128" s="124"/>
      <c r="B128" s="460" t="s">
        <v>2</v>
      </c>
      <c r="C128" s="373">
        <f aca="true" t="shared" si="7" ref="C128:J128">SUM(C119:C127)</f>
        <v>614340</v>
      </c>
      <c r="D128" s="360">
        <f t="shared" si="7"/>
        <v>501486</v>
      </c>
      <c r="E128" s="371">
        <f t="shared" si="7"/>
        <v>953583</v>
      </c>
      <c r="F128" s="371">
        <f t="shared" si="7"/>
        <v>883966</v>
      </c>
      <c r="G128" s="360">
        <f t="shared" si="7"/>
        <v>951155</v>
      </c>
      <c r="H128" s="360">
        <f t="shared" si="7"/>
        <v>274818</v>
      </c>
      <c r="I128" s="372">
        <f t="shared" si="7"/>
        <v>305061</v>
      </c>
      <c r="J128" s="384">
        <f t="shared" si="7"/>
        <v>915247</v>
      </c>
      <c r="K128" s="56"/>
      <c r="L128" s="35"/>
      <c r="P128" s="124"/>
      <c r="Q128" s="16"/>
      <c r="R128" s="52"/>
      <c r="S128" s="500"/>
      <c r="T128" s="52"/>
      <c r="U128" s="52"/>
    </row>
    <row r="129" spans="2:21" ht="15.75" thickBot="1">
      <c r="B129" s="3"/>
      <c r="C129" s="17"/>
      <c r="D129" s="17"/>
      <c r="E129" s="22"/>
      <c r="F129" s="22"/>
      <c r="G129" s="362"/>
      <c r="H129" s="362"/>
      <c r="I129" s="362"/>
      <c r="J129" s="348"/>
      <c r="K129" s="15"/>
      <c r="L129" s="18"/>
      <c r="Q129" s="16"/>
      <c r="R129" s="29"/>
      <c r="T129" s="29"/>
      <c r="U129" s="29"/>
    </row>
    <row r="130" spans="2:21" ht="16.5" thickBot="1">
      <c r="B130" s="89" t="s">
        <v>3</v>
      </c>
      <c r="C130" s="17"/>
      <c r="D130" s="17"/>
      <c r="E130" s="22"/>
      <c r="F130" s="22"/>
      <c r="G130" s="362"/>
      <c r="H130" s="362"/>
      <c r="I130" s="362"/>
      <c r="J130" s="609"/>
      <c r="K130" s="32"/>
      <c r="L130" s="18"/>
      <c r="Q130" s="16"/>
      <c r="R130" s="29"/>
      <c r="T130" s="29"/>
      <c r="U130" s="29"/>
    </row>
    <row r="131" spans="2:21" ht="12.75" customHeight="1">
      <c r="B131" s="642" t="s">
        <v>11</v>
      </c>
      <c r="C131" s="452">
        <v>21000</v>
      </c>
      <c r="D131" s="437">
        <v>68390</v>
      </c>
      <c r="E131" s="448">
        <f>C131</f>
        <v>21000</v>
      </c>
      <c r="F131" s="448">
        <v>63713</v>
      </c>
      <c r="G131" s="437">
        <v>25000</v>
      </c>
      <c r="H131" s="437">
        <v>10525</v>
      </c>
      <c r="I131" s="437">
        <v>11115</v>
      </c>
      <c r="J131" s="605">
        <v>40000</v>
      </c>
      <c r="K131" s="30"/>
      <c r="L131" s="30"/>
      <c r="P131" s="356"/>
      <c r="Q131" s="16"/>
      <c r="R131" s="29"/>
      <c r="T131" s="29"/>
      <c r="U131" s="29"/>
    </row>
    <row r="132" spans="2:21" ht="12.75" customHeight="1" hidden="1">
      <c r="B132" s="643" t="s">
        <v>199</v>
      </c>
      <c r="C132" s="430"/>
      <c r="D132" s="398"/>
      <c r="E132" s="397"/>
      <c r="F132" s="397"/>
      <c r="G132" s="398"/>
      <c r="H132" s="398"/>
      <c r="I132" s="399"/>
      <c r="J132" s="602"/>
      <c r="K132" s="30"/>
      <c r="L132" s="30"/>
      <c r="P132" s="357"/>
      <c r="Q132" s="16"/>
      <c r="R132" s="29"/>
      <c r="T132" s="29"/>
      <c r="U132" s="29"/>
    </row>
    <row r="133" spans="2:21" ht="12.75" customHeight="1" hidden="1">
      <c r="B133" s="643" t="s">
        <v>200</v>
      </c>
      <c r="C133" s="430"/>
      <c r="D133" s="398"/>
      <c r="E133" s="595">
        <v>197957</v>
      </c>
      <c r="F133" s="595">
        <v>197957</v>
      </c>
      <c r="G133" s="398"/>
      <c r="H133" s="398"/>
      <c r="I133" s="399"/>
      <c r="J133" s="602"/>
      <c r="K133" s="30"/>
      <c r="L133" s="30"/>
      <c r="P133" s="357"/>
      <c r="Q133" s="16"/>
      <c r="R133" s="29"/>
      <c r="T133" s="29"/>
      <c r="U133" s="29"/>
    </row>
    <row r="134" spans="2:21" ht="14.25" thickBot="1">
      <c r="B134" s="553" t="s">
        <v>4</v>
      </c>
      <c r="C134" s="554">
        <v>593340</v>
      </c>
      <c r="D134" s="555">
        <v>566000</v>
      </c>
      <c r="E134" s="556">
        <f>C134+486+140800</f>
        <v>734626</v>
      </c>
      <c r="F134" s="556">
        <v>734626</v>
      </c>
      <c r="G134" s="555">
        <v>926155</v>
      </c>
      <c r="H134" s="555">
        <v>380595</v>
      </c>
      <c r="I134" s="555">
        <v>456714</v>
      </c>
      <c r="J134" s="613">
        <v>875247</v>
      </c>
      <c r="K134" s="54"/>
      <c r="L134" s="72"/>
      <c r="P134" s="359"/>
      <c r="Q134" s="28"/>
      <c r="R134" s="29"/>
      <c r="T134" s="29"/>
      <c r="U134" s="29"/>
    </row>
    <row r="135" spans="1:21" s="11" customFormat="1" ht="14.25" thickBot="1">
      <c r="A135" s="124"/>
      <c r="B135" s="460" t="s">
        <v>5</v>
      </c>
      <c r="C135" s="373">
        <f aca="true" t="shared" si="8" ref="C135:J135">SUM(C131:C134)</f>
        <v>614340</v>
      </c>
      <c r="D135" s="360">
        <f t="shared" si="8"/>
        <v>634390</v>
      </c>
      <c r="E135" s="371">
        <f t="shared" si="8"/>
        <v>953583</v>
      </c>
      <c r="F135" s="371">
        <f t="shared" si="8"/>
        <v>996296</v>
      </c>
      <c r="G135" s="360">
        <f t="shared" si="8"/>
        <v>951155</v>
      </c>
      <c r="H135" s="360">
        <f t="shared" si="8"/>
        <v>391120</v>
      </c>
      <c r="I135" s="372">
        <f t="shared" si="8"/>
        <v>467829</v>
      </c>
      <c r="J135" s="384">
        <f t="shared" si="8"/>
        <v>915247</v>
      </c>
      <c r="K135" s="35"/>
      <c r="L135" s="56"/>
      <c r="P135" s="124"/>
      <c r="Q135" s="16"/>
      <c r="R135" s="52"/>
      <c r="S135" s="500"/>
      <c r="T135" s="52"/>
      <c r="U135" s="52"/>
    </row>
    <row r="136" spans="2:21" ht="7.5" customHeight="1" thickBot="1">
      <c r="B136" s="20"/>
      <c r="D136" s="362"/>
      <c r="G136" s="362"/>
      <c r="H136" s="362"/>
      <c r="I136" s="362"/>
      <c r="Q136" s="16"/>
      <c r="R136" s="29"/>
      <c r="T136" s="29"/>
      <c r="U136" s="29"/>
    </row>
    <row r="137" spans="2:21" ht="15" thickBot="1" thickTop="1">
      <c r="B137" s="340" t="s">
        <v>168</v>
      </c>
      <c r="C137" s="341"/>
      <c r="D137" s="343">
        <f aca="true" t="shared" si="9" ref="D137:J137">D135-D128</f>
        <v>132904</v>
      </c>
      <c r="E137" s="343">
        <f t="shared" si="9"/>
        <v>0</v>
      </c>
      <c r="F137" s="343">
        <f t="shared" si="9"/>
        <v>112330</v>
      </c>
      <c r="G137" s="343">
        <f t="shared" si="9"/>
        <v>0</v>
      </c>
      <c r="H137" s="343">
        <f t="shared" si="9"/>
        <v>116302</v>
      </c>
      <c r="I137" s="343">
        <f t="shared" si="9"/>
        <v>162768</v>
      </c>
      <c r="J137" s="610">
        <f t="shared" si="9"/>
        <v>0</v>
      </c>
      <c r="Q137" s="16"/>
      <c r="R137" s="29"/>
      <c r="T137" s="29"/>
      <c r="U137" s="29"/>
    </row>
    <row r="138" spans="2:21" ht="14.25" thickTop="1">
      <c r="B138" s="20"/>
      <c r="G138" s="362"/>
      <c r="H138" s="362"/>
      <c r="I138" s="362"/>
      <c r="Q138" s="16"/>
      <c r="R138" s="29"/>
      <c r="T138" s="29"/>
      <c r="U138" s="29"/>
    </row>
    <row r="139" spans="2:21" ht="18" thickBot="1">
      <c r="B139" s="875" t="s">
        <v>15</v>
      </c>
      <c r="C139" s="875"/>
      <c r="D139" s="875"/>
      <c r="E139" s="875"/>
      <c r="F139" s="875"/>
      <c r="G139" s="875"/>
      <c r="H139" s="875"/>
      <c r="I139" s="875"/>
      <c r="J139" s="875"/>
      <c r="K139" s="875"/>
      <c r="L139" s="875"/>
      <c r="M139" s="875"/>
      <c r="N139" s="875"/>
      <c r="O139" s="875"/>
      <c r="Q139" s="16"/>
      <c r="R139" s="29"/>
      <c r="T139" s="29"/>
      <c r="U139" s="29"/>
    </row>
    <row r="140" spans="2:21" ht="15">
      <c r="B140" s="454" t="s">
        <v>0</v>
      </c>
      <c r="C140" s="93" t="s">
        <v>299</v>
      </c>
      <c r="D140" s="350" t="s">
        <v>137</v>
      </c>
      <c r="E140" s="93" t="s">
        <v>299</v>
      </c>
      <c r="F140" s="350" t="s">
        <v>137</v>
      </c>
      <c r="G140" s="93" t="s">
        <v>299</v>
      </c>
      <c r="H140" s="350" t="s">
        <v>338</v>
      </c>
      <c r="I140" s="350" t="s">
        <v>338</v>
      </c>
      <c r="J140" s="598" t="s">
        <v>165</v>
      </c>
      <c r="K140" s="9"/>
      <c r="L140" s="36"/>
      <c r="M140" s="1"/>
      <c r="N140" s="1"/>
      <c r="O140" s="41"/>
      <c r="P140" s="351" t="s">
        <v>136</v>
      </c>
      <c r="Q140" s="16"/>
      <c r="R140" s="29"/>
      <c r="T140" s="29"/>
      <c r="U140" s="29"/>
    </row>
    <row r="141" spans="2:21" ht="15.75" thickBot="1">
      <c r="B141" s="470"/>
      <c r="C141" s="539">
        <v>2015</v>
      </c>
      <c r="D141" s="353">
        <v>2015</v>
      </c>
      <c r="E141" s="540">
        <v>2016</v>
      </c>
      <c r="F141" s="540">
        <v>2016</v>
      </c>
      <c r="G141" s="353">
        <v>2017</v>
      </c>
      <c r="H141" s="418" t="s">
        <v>339</v>
      </c>
      <c r="I141" s="418" t="s">
        <v>359</v>
      </c>
      <c r="J141" s="599" t="s">
        <v>300</v>
      </c>
      <c r="K141" s="9"/>
      <c r="L141" s="36"/>
      <c r="M141" s="1"/>
      <c r="N141" s="1"/>
      <c r="O141" s="41"/>
      <c r="P141" s="355"/>
      <c r="Q141" s="16"/>
      <c r="R141" s="29"/>
      <c r="T141" s="29"/>
      <c r="U141" s="29"/>
    </row>
    <row r="142" spans="2:21" ht="13.5">
      <c r="B142" s="471" t="s">
        <v>315</v>
      </c>
      <c r="C142" s="467">
        <v>95000</v>
      </c>
      <c r="D142" s="437">
        <v>47883</v>
      </c>
      <c r="E142" s="448">
        <v>60000</v>
      </c>
      <c r="F142" s="448">
        <v>42131</v>
      </c>
      <c r="G142" s="437">
        <v>60000</v>
      </c>
      <c r="H142" s="437">
        <v>33283</v>
      </c>
      <c r="I142" s="437">
        <v>37588</v>
      </c>
      <c r="J142" s="605">
        <v>60000</v>
      </c>
      <c r="K142" s="4"/>
      <c r="L142" s="4"/>
      <c r="M142" s="31"/>
      <c r="N142" s="31"/>
      <c r="O142" s="10"/>
      <c r="P142" s="356"/>
      <c r="Q142" s="16"/>
      <c r="R142" s="29"/>
      <c r="T142" s="29"/>
      <c r="U142" s="29"/>
    </row>
    <row r="143" spans="2:21" ht="13.5">
      <c r="B143" s="472" t="s">
        <v>314</v>
      </c>
      <c r="C143" s="468"/>
      <c r="D143" s="398">
        <v>2902</v>
      </c>
      <c r="E143" s="397">
        <v>5000</v>
      </c>
      <c r="F143" s="397">
        <v>4116</v>
      </c>
      <c r="G143" s="398">
        <v>5000</v>
      </c>
      <c r="H143" s="398">
        <v>1152</v>
      </c>
      <c r="I143" s="398">
        <v>1536</v>
      </c>
      <c r="J143" s="602">
        <v>5000</v>
      </c>
      <c r="K143" s="4"/>
      <c r="L143" s="4"/>
      <c r="M143" s="31"/>
      <c r="N143" s="31"/>
      <c r="O143" s="10"/>
      <c r="P143" s="357"/>
      <c r="Q143" s="16"/>
      <c r="R143" s="29"/>
      <c r="T143" s="29"/>
      <c r="U143" s="29"/>
    </row>
    <row r="144" spans="2:21" ht="13.5">
      <c r="B144" s="478" t="s">
        <v>313</v>
      </c>
      <c r="C144" s="479"/>
      <c r="D144" s="423">
        <v>13904</v>
      </c>
      <c r="E144" s="422">
        <v>30000</v>
      </c>
      <c r="F144" s="422">
        <v>12739</v>
      </c>
      <c r="G144" s="423">
        <v>20000</v>
      </c>
      <c r="H144" s="423">
        <v>7156</v>
      </c>
      <c r="I144" s="423">
        <v>7506</v>
      </c>
      <c r="J144" s="614">
        <v>20000</v>
      </c>
      <c r="K144" s="4"/>
      <c r="L144" s="4"/>
      <c r="M144" s="31"/>
      <c r="N144" s="31"/>
      <c r="O144" s="10"/>
      <c r="P144" s="357"/>
      <c r="Q144" s="16"/>
      <c r="R144" s="29"/>
      <c r="T144" s="29"/>
      <c r="U144" s="29"/>
    </row>
    <row r="145" spans="2:21" ht="13.5">
      <c r="B145" s="476" t="s">
        <v>1</v>
      </c>
      <c r="C145" s="477">
        <v>25000</v>
      </c>
      <c r="D145" s="411">
        <v>800</v>
      </c>
      <c r="E145" s="410">
        <f>C145</f>
        <v>25000</v>
      </c>
      <c r="F145" s="410">
        <v>1990</v>
      </c>
      <c r="G145" s="411">
        <v>10000</v>
      </c>
      <c r="H145" s="411">
        <v>0</v>
      </c>
      <c r="I145" s="411"/>
      <c r="J145" s="601">
        <f>10000-5000</f>
        <v>5000</v>
      </c>
      <c r="K145" s="4"/>
      <c r="L145" s="4"/>
      <c r="M145" s="31"/>
      <c r="N145" s="31"/>
      <c r="O145" s="10"/>
      <c r="P145" s="357"/>
      <c r="Q145" s="16"/>
      <c r="R145" s="29"/>
      <c r="T145" s="29"/>
      <c r="U145" s="29"/>
    </row>
    <row r="146" spans="2:21" ht="13.5">
      <c r="B146" s="473" t="s">
        <v>8</v>
      </c>
      <c r="C146" s="468">
        <v>36000</v>
      </c>
      <c r="D146" s="398">
        <v>39835</v>
      </c>
      <c r="E146" s="397">
        <f aca="true" t="shared" si="10" ref="E146:E153">C146</f>
        <v>36000</v>
      </c>
      <c r="F146" s="397">
        <v>80846</v>
      </c>
      <c r="G146" s="398">
        <v>50000</v>
      </c>
      <c r="H146" s="398">
        <v>5787</v>
      </c>
      <c r="I146" s="398">
        <v>6789</v>
      </c>
      <c r="J146" s="602">
        <v>50000</v>
      </c>
      <c r="K146" s="4"/>
      <c r="L146" s="4"/>
      <c r="M146" s="31"/>
      <c r="N146" s="31"/>
      <c r="O146" s="10"/>
      <c r="P146" s="357"/>
      <c r="Q146" s="16"/>
      <c r="R146" s="29"/>
      <c r="T146" s="29"/>
      <c r="U146" s="29"/>
    </row>
    <row r="147" spans="2:21" ht="13.5">
      <c r="B147" s="473" t="s">
        <v>9</v>
      </c>
      <c r="C147" s="468">
        <v>1000</v>
      </c>
      <c r="D147" s="398">
        <v>94</v>
      </c>
      <c r="E147" s="397">
        <f t="shared" si="10"/>
        <v>1000</v>
      </c>
      <c r="F147" s="397">
        <v>346</v>
      </c>
      <c r="G147" s="398">
        <v>15000</v>
      </c>
      <c r="H147" s="398">
        <v>201</v>
      </c>
      <c r="I147" s="399">
        <v>396</v>
      </c>
      <c r="J147" s="602">
        <f>15000-5000</f>
        <v>10000</v>
      </c>
      <c r="K147" s="4"/>
      <c r="L147" s="4"/>
      <c r="M147" s="31"/>
      <c r="N147" s="31"/>
      <c r="O147" s="10"/>
      <c r="P147" s="357"/>
      <c r="Q147" s="16"/>
      <c r="R147" s="29"/>
      <c r="T147" s="29"/>
      <c r="U147" s="29"/>
    </row>
    <row r="148" spans="2:21" ht="13.5">
      <c r="B148" s="473" t="s">
        <v>16</v>
      </c>
      <c r="C148" s="468">
        <v>311000</v>
      </c>
      <c r="D148" s="398">
        <f>331542-68926+37020</f>
        <v>299636</v>
      </c>
      <c r="E148" s="397">
        <f t="shared" si="10"/>
        <v>311000</v>
      </c>
      <c r="F148" s="397">
        <v>140614</v>
      </c>
      <c r="G148" s="398">
        <v>250000</v>
      </c>
      <c r="H148" s="398">
        <v>17766</v>
      </c>
      <c r="I148" s="399">
        <v>34327</v>
      </c>
      <c r="J148" s="602">
        <f>250000-50000</f>
        <v>200000</v>
      </c>
      <c r="K148" s="4"/>
      <c r="L148" s="4"/>
      <c r="M148" s="31"/>
      <c r="N148" s="31"/>
      <c r="O148" s="10"/>
      <c r="P148" s="357"/>
      <c r="Q148" s="124" t="s">
        <v>174</v>
      </c>
      <c r="R148" s="29"/>
      <c r="S148" s="516" t="s">
        <v>291</v>
      </c>
      <c r="T148" s="29"/>
      <c r="U148" s="29"/>
    </row>
    <row r="149" spans="2:21" ht="13.5" hidden="1">
      <c r="B149" s="473" t="s">
        <v>57</v>
      </c>
      <c r="C149" s="468">
        <v>2500</v>
      </c>
      <c r="D149" s="398">
        <v>2110</v>
      </c>
      <c r="E149" s="397">
        <f t="shared" si="10"/>
        <v>2500</v>
      </c>
      <c r="F149" s="397">
        <v>0</v>
      </c>
      <c r="G149" s="398"/>
      <c r="H149" s="398"/>
      <c r="I149" s="398"/>
      <c r="J149" s="602">
        <v>0</v>
      </c>
      <c r="K149" s="4"/>
      <c r="L149" s="4"/>
      <c r="M149" s="31"/>
      <c r="N149" s="31"/>
      <c r="O149" s="10"/>
      <c r="P149" s="357"/>
      <c r="Q149" s="53"/>
      <c r="R149" s="29"/>
      <c r="T149" s="29"/>
      <c r="U149" s="29"/>
    </row>
    <row r="150" spans="1:21" ht="13.5">
      <c r="A150" s="124">
        <v>1315</v>
      </c>
      <c r="B150" s="473" t="s">
        <v>59</v>
      </c>
      <c r="C150" s="468">
        <v>25000</v>
      </c>
      <c r="D150" s="398">
        <v>30675</v>
      </c>
      <c r="E150" s="397">
        <f t="shared" si="10"/>
        <v>25000</v>
      </c>
      <c r="F150" s="397">
        <v>3754</v>
      </c>
      <c r="G150" s="398">
        <v>66000</v>
      </c>
      <c r="H150" s="398">
        <v>14826</v>
      </c>
      <c r="I150" s="399">
        <v>14826</v>
      </c>
      <c r="J150" s="602">
        <v>66000</v>
      </c>
      <c r="K150" s="4"/>
      <c r="L150" s="4"/>
      <c r="M150" s="31"/>
      <c r="N150" s="31"/>
      <c r="O150" s="10"/>
      <c r="P150" s="357" t="s">
        <v>145</v>
      </c>
      <c r="Q150" s="53">
        <f>J150</f>
        <v>66000</v>
      </c>
      <c r="R150" s="29"/>
      <c r="S150" s="515">
        <v>41000</v>
      </c>
      <c r="T150" s="29"/>
      <c r="U150" s="29"/>
    </row>
    <row r="151" spans="1:21" ht="13.5">
      <c r="A151" s="124">
        <v>1309</v>
      </c>
      <c r="B151" s="473" t="s">
        <v>223</v>
      </c>
      <c r="C151" s="468">
        <v>20000</v>
      </c>
      <c r="D151" s="398">
        <v>124373</v>
      </c>
      <c r="E151" s="397">
        <f t="shared" si="10"/>
        <v>20000</v>
      </c>
      <c r="F151" s="397">
        <v>127566</v>
      </c>
      <c r="G151" s="398">
        <v>135000</v>
      </c>
      <c r="H151" s="398">
        <v>38163</v>
      </c>
      <c r="I151" s="399">
        <v>55745</v>
      </c>
      <c r="J151" s="602">
        <v>135000</v>
      </c>
      <c r="K151" s="4"/>
      <c r="L151" s="4"/>
      <c r="M151" s="31"/>
      <c r="N151" s="31"/>
      <c r="O151" s="10"/>
      <c r="P151" s="357" t="s">
        <v>148</v>
      </c>
      <c r="Q151" s="53">
        <f>J151</f>
        <v>135000</v>
      </c>
      <c r="R151" s="29"/>
      <c r="S151" s="515">
        <v>95000</v>
      </c>
      <c r="T151" s="29"/>
      <c r="U151" s="29"/>
    </row>
    <row r="152" spans="1:21" ht="13.5">
      <c r="A152" s="124">
        <v>1327</v>
      </c>
      <c r="B152" s="473" t="s">
        <v>203</v>
      </c>
      <c r="C152" s="468">
        <v>15000</v>
      </c>
      <c r="D152" s="398">
        <v>14748</v>
      </c>
      <c r="E152" s="397">
        <f t="shared" si="10"/>
        <v>15000</v>
      </c>
      <c r="F152" s="397">
        <v>15574</v>
      </c>
      <c r="G152" s="398">
        <v>20000</v>
      </c>
      <c r="H152" s="398">
        <v>1005</v>
      </c>
      <c r="I152" s="399">
        <v>2797</v>
      </c>
      <c r="J152" s="602">
        <v>30000</v>
      </c>
      <c r="K152" s="4"/>
      <c r="L152" s="4"/>
      <c r="M152" s="31"/>
      <c r="N152" s="31"/>
      <c r="O152" s="10"/>
      <c r="P152" s="357" t="s">
        <v>144</v>
      </c>
      <c r="Q152" s="53">
        <f>J152</f>
        <v>30000</v>
      </c>
      <c r="R152" s="29"/>
      <c r="S152" s="515"/>
      <c r="T152" s="29"/>
      <c r="U152" s="29"/>
    </row>
    <row r="153" spans="1:21" ht="13.5">
      <c r="A153" s="124">
        <v>1317</v>
      </c>
      <c r="B153" s="473" t="s">
        <v>204</v>
      </c>
      <c r="C153" s="468">
        <v>30000</v>
      </c>
      <c r="D153" s="398"/>
      <c r="E153" s="397">
        <f t="shared" si="10"/>
        <v>30000</v>
      </c>
      <c r="F153" s="397">
        <v>39066</v>
      </c>
      <c r="G153" s="398">
        <v>32000</v>
      </c>
      <c r="H153" s="398">
        <v>0</v>
      </c>
      <c r="I153" s="399">
        <v>0</v>
      </c>
      <c r="J153" s="602">
        <v>32000</v>
      </c>
      <c r="K153" s="4"/>
      <c r="L153" s="4"/>
      <c r="M153" s="31"/>
      <c r="N153" s="31"/>
      <c r="O153" s="10"/>
      <c r="P153" s="357" t="s">
        <v>234</v>
      </c>
      <c r="Q153" s="53">
        <f>J153</f>
        <v>32000</v>
      </c>
      <c r="R153" s="29"/>
      <c r="S153" s="515">
        <v>12000</v>
      </c>
      <c r="T153" s="29"/>
      <c r="U153" s="29"/>
    </row>
    <row r="154" spans="2:21" ht="14.25" thickBot="1">
      <c r="B154" s="557" t="s">
        <v>10</v>
      </c>
      <c r="C154" s="558">
        <v>751129</v>
      </c>
      <c r="D154" s="551">
        <v>731469</v>
      </c>
      <c r="E154" s="552">
        <v>753477</v>
      </c>
      <c r="F154" s="552">
        <v>703845</v>
      </c>
      <c r="G154" s="551">
        <v>961688</v>
      </c>
      <c r="H154" s="551">
        <v>334787</v>
      </c>
      <c r="I154" s="551">
        <v>418880</v>
      </c>
      <c r="J154" s="612">
        <v>1131691</v>
      </c>
      <c r="K154" s="4"/>
      <c r="L154" s="4"/>
      <c r="M154" s="31"/>
      <c r="N154" s="31"/>
      <c r="O154" s="10"/>
      <c r="P154" s="359"/>
      <c r="Q154" s="16"/>
      <c r="R154" s="29"/>
      <c r="S154" s="515"/>
      <c r="T154" s="29"/>
      <c r="U154" s="29"/>
    </row>
    <row r="155" spans="1:21" s="11" customFormat="1" ht="14.25" thickBot="1">
      <c r="A155" s="124"/>
      <c r="B155" s="475" t="s">
        <v>2</v>
      </c>
      <c r="C155" s="331">
        <f aca="true" t="shared" si="11" ref="C155:J155">SUM(C142:C154)</f>
        <v>1311629</v>
      </c>
      <c r="D155" s="365">
        <f t="shared" si="11"/>
        <v>1308429</v>
      </c>
      <c r="E155" s="77">
        <f t="shared" si="11"/>
        <v>1313977</v>
      </c>
      <c r="F155" s="77">
        <f t="shared" si="11"/>
        <v>1172587</v>
      </c>
      <c r="G155" s="365">
        <f t="shared" si="11"/>
        <v>1624688</v>
      </c>
      <c r="H155" s="365">
        <f t="shared" si="11"/>
        <v>454126</v>
      </c>
      <c r="I155" s="365">
        <f t="shared" si="11"/>
        <v>580390</v>
      </c>
      <c r="J155" s="365">
        <f t="shared" si="11"/>
        <v>1744691</v>
      </c>
      <c r="K155" s="5"/>
      <c r="L155" s="85"/>
      <c r="M155" s="51"/>
      <c r="N155" s="51"/>
      <c r="O155" s="83"/>
      <c r="P155" s="124"/>
      <c r="Q155" s="511">
        <f>SUM(Q149:Q154)</f>
        <v>263000</v>
      </c>
      <c r="R155" s="52"/>
      <c r="S155" s="519">
        <f>SUM(S150:S154)</f>
        <v>148000</v>
      </c>
      <c r="T155" s="52"/>
      <c r="U155" s="52"/>
    </row>
    <row r="156" spans="2:21" ht="15.75" thickBot="1">
      <c r="B156" s="21"/>
      <c r="C156" s="23"/>
      <c r="D156" s="23"/>
      <c r="E156" s="22"/>
      <c r="F156" s="22"/>
      <c r="G156" s="362"/>
      <c r="H156" s="362"/>
      <c r="I156" s="362"/>
      <c r="K156" s="31"/>
      <c r="L156" s="31"/>
      <c r="M156" s="31"/>
      <c r="N156" s="31"/>
      <c r="O156" s="10"/>
      <c r="Q156" s="29"/>
      <c r="R156" s="29"/>
      <c r="T156" s="29"/>
      <c r="U156" s="29"/>
    </row>
    <row r="157" spans="2:21" ht="15.75" thickBot="1">
      <c r="B157" s="24" t="s">
        <v>3</v>
      </c>
      <c r="C157" s="23"/>
      <c r="D157" s="23"/>
      <c r="E157" s="22"/>
      <c r="F157" s="22"/>
      <c r="G157" s="362"/>
      <c r="H157" s="362"/>
      <c r="I157" s="362"/>
      <c r="K157" s="31"/>
      <c r="L157" s="31"/>
      <c r="M157" s="31"/>
      <c r="N157" s="31"/>
      <c r="O157" s="10"/>
      <c r="Q157" s="135"/>
      <c r="R157" s="29"/>
      <c r="T157" s="29"/>
      <c r="U157" s="29"/>
    </row>
    <row r="158" spans="2:21" ht="13.5">
      <c r="B158" s="471" t="s">
        <v>11</v>
      </c>
      <c r="C158" s="467">
        <v>265000</v>
      </c>
      <c r="D158" s="437">
        <v>421110</v>
      </c>
      <c r="E158" s="448">
        <f>C158</f>
        <v>265000</v>
      </c>
      <c r="F158" s="448">
        <v>272081</v>
      </c>
      <c r="G158" s="437">
        <v>345000</v>
      </c>
      <c r="H158" s="437">
        <v>73907</v>
      </c>
      <c r="I158" s="596">
        <v>102187</v>
      </c>
      <c r="J158" s="605">
        <v>380000</v>
      </c>
      <c r="K158" s="4"/>
      <c r="L158" s="4"/>
      <c r="M158" s="31"/>
      <c r="N158" s="31"/>
      <c r="O158" s="10"/>
      <c r="P158" s="356"/>
      <c r="Q158" s="29"/>
      <c r="R158" s="16" t="s">
        <v>263</v>
      </c>
      <c r="T158" s="29"/>
      <c r="U158" s="29"/>
    </row>
    <row r="159" spans="2:21" ht="13.5" hidden="1">
      <c r="B159" s="476" t="s">
        <v>227</v>
      </c>
      <c r="C159" s="477"/>
      <c r="D159" s="411"/>
      <c r="E159" s="410"/>
      <c r="F159" s="410"/>
      <c r="G159" s="411"/>
      <c r="H159" s="411"/>
      <c r="I159" s="412"/>
      <c r="J159" s="601"/>
      <c r="K159" s="4"/>
      <c r="L159" s="4"/>
      <c r="M159" s="31"/>
      <c r="N159" s="31"/>
      <c r="O159" s="10"/>
      <c r="P159" s="414"/>
      <c r="Q159" s="29"/>
      <c r="R159" s="29"/>
      <c r="T159" s="29"/>
      <c r="U159" s="29"/>
    </row>
    <row r="160" spans="2:21" ht="13.5">
      <c r="B160" s="476" t="s">
        <v>12</v>
      </c>
      <c r="C160" s="477"/>
      <c r="D160" s="411"/>
      <c r="E160" s="410"/>
      <c r="F160" s="410">
        <v>27276</v>
      </c>
      <c r="G160" s="411"/>
      <c r="H160" s="411"/>
      <c r="I160" s="412"/>
      <c r="J160" s="601"/>
      <c r="K160" s="4"/>
      <c r="L160" s="4"/>
      <c r="M160" s="31"/>
      <c r="N160" s="31"/>
      <c r="O160" s="10"/>
      <c r="P160" s="414"/>
      <c r="Q160" s="29"/>
      <c r="R160" s="29"/>
      <c r="T160" s="29"/>
      <c r="U160" s="29"/>
    </row>
    <row r="161" spans="2:21" ht="13.5">
      <c r="B161" s="559" t="s">
        <v>4</v>
      </c>
      <c r="C161" s="560">
        <v>954129</v>
      </c>
      <c r="D161" s="543">
        <v>899000</v>
      </c>
      <c r="E161" s="544">
        <v>956477</v>
      </c>
      <c r="F161" s="544">
        <v>956477</v>
      </c>
      <c r="G161" s="543">
        <v>1174688</v>
      </c>
      <c r="H161" s="543">
        <v>470951</v>
      </c>
      <c r="I161" s="543">
        <v>565142</v>
      </c>
      <c r="J161" s="606">
        <v>1249691</v>
      </c>
      <c r="K161" s="4"/>
      <c r="L161" s="4"/>
      <c r="M161" s="31"/>
      <c r="N161" s="31"/>
      <c r="O161" s="10"/>
      <c r="P161" s="357"/>
      <c r="Q161" s="29"/>
      <c r="R161" s="29"/>
      <c r="T161" s="29"/>
      <c r="U161" s="29"/>
    </row>
    <row r="162" spans="2:21" ht="12.75" hidden="1">
      <c r="B162" s="574" t="s">
        <v>60</v>
      </c>
      <c r="C162" s="575">
        <v>2500</v>
      </c>
      <c r="D162" s="565">
        <v>2500</v>
      </c>
      <c r="E162" s="566">
        <f>C162</f>
        <v>2500</v>
      </c>
      <c r="F162" s="566">
        <v>2500</v>
      </c>
      <c r="G162" s="399"/>
      <c r="H162" s="399"/>
      <c r="I162" s="399"/>
      <c r="J162" s="615"/>
      <c r="K162" s="4"/>
      <c r="L162" s="4"/>
      <c r="M162" s="31"/>
      <c r="N162" s="31"/>
      <c r="O162" s="10"/>
      <c r="P162" s="357"/>
      <c r="Q162" s="29"/>
      <c r="R162" s="29"/>
      <c r="T162" s="29"/>
      <c r="U162" s="29"/>
    </row>
    <row r="163" spans="2:21" ht="13.5">
      <c r="B163" s="574" t="s">
        <v>329</v>
      </c>
      <c r="C163" s="575">
        <v>20000</v>
      </c>
      <c r="D163" s="565">
        <v>20000</v>
      </c>
      <c r="E163" s="566">
        <f>C163</f>
        <v>20000</v>
      </c>
      <c r="F163" s="566">
        <v>20000</v>
      </c>
      <c r="G163" s="565">
        <v>40000</v>
      </c>
      <c r="H163" s="565"/>
      <c r="I163" s="565">
        <v>28000</v>
      </c>
      <c r="J163" s="608">
        <v>40000</v>
      </c>
      <c r="K163" s="4"/>
      <c r="L163" s="4"/>
      <c r="M163" s="31"/>
      <c r="N163" s="31"/>
      <c r="O163" s="10"/>
      <c r="P163" s="357"/>
      <c r="Q163" s="29"/>
      <c r="R163" s="16">
        <f>J163</f>
        <v>40000</v>
      </c>
      <c r="T163" s="29"/>
      <c r="U163" s="29"/>
    </row>
    <row r="164" spans="2:21" ht="13.5">
      <c r="B164" s="574" t="s">
        <v>330</v>
      </c>
      <c r="C164" s="575">
        <v>25000</v>
      </c>
      <c r="D164" s="565">
        <v>25000</v>
      </c>
      <c r="E164" s="566">
        <f>C164</f>
        <v>25000</v>
      </c>
      <c r="F164" s="566">
        <v>25000</v>
      </c>
      <c r="G164" s="565">
        <v>25000</v>
      </c>
      <c r="H164" s="565"/>
      <c r="I164" s="565"/>
      <c r="J164" s="608">
        <v>25000</v>
      </c>
      <c r="K164" s="4"/>
      <c r="L164" s="4"/>
      <c r="M164" s="31"/>
      <c r="N164" s="31"/>
      <c r="O164" s="10"/>
      <c r="P164" s="357"/>
      <c r="Q164" s="29"/>
      <c r="R164" s="16">
        <f>J164</f>
        <v>25000</v>
      </c>
      <c r="T164" s="29"/>
      <c r="U164" s="29"/>
    </row>
    <row r="165" spans="2:21" ht="13.5" hidden="1">
      <c r="B165" s="574" t="s">
        <v>205</v>
      </c>
      <c r="C165" s="575"/>
      <c r="D165" s="565">
        <v>80000</v>
      </c>
      <c r="E165" s="439"/>
      <c r="F165" s="439"/>
      <c r="G165" s="399"/>
      <c r="H165" s="399"/>
      <c r="I165" s="399"/>
      <c r="J165" s="615"/>
      <c r="K165" s="4"/>
      <c r="L165" s="4"/>
      <c r="M165" s="31"/>
      <c r="N165" s="31"/>
      <c r="O165" s="10"/>
      <c r="P165" s="357"/>
      <c r="Q165" s="29"/>
      <c r="R165" s="16"/>
      <c r="T165" s="29"/>
      <c r="U165" s="29"/>
    </row>
    <row r="166" spans="2:21" ht="13.5">
      <c r="B166" s="574" t="s">
        <v>331</v>
      </c>
      <c r="C166" s="575">
        <v>15000</v>
      </c>
      <c r="D166" s="565" t="s">
        <v>207</v>
      </c>
      <c r="E166" s="566">
        <f>C166</f>
        <v>15000</v>
      </c>
      <c r="F166" s="566">
        <v>15000</v>
      </c>
      <c r="G166" s="565">
        <v>20000</v>
      </c>
      <c r="H166" s="565"/>
      <c r="I166" s="565"/>
      <c r="J166" s="608">
        <v>30000</v>
      </c>
      <c r="K166" s="4"/>
      <c r="L166" s="4"/>
      <c r="M166" s="31"/>
      <c r="N166" s="31"/>
      <c r="O166" s="10"/>
      <c r="P166" s="357"/>
      <c r="Q166" s="29"/>
      <c r="R166" s="16">
        <f>J166</f>
        <v>30000</v>
      </c>
      <c r="T166" s="29"/>
      <c r="U166" s="29"/>
    </row>
    <row r="167" spans="2:21" ht="13.5">
      <c r="B167" s="572" t="s">
        <v>332</v>
      </c>
      <c r="C167" s="573">
        <v>30000</v>
      </c>
      <c r="D167" s="565"/>
      <c r="E167" s="566">
        <f>C167</f>
        <v>30000</v>
      </c>
      <c r="F167" s="566">
        <v>30000</v>
      </c>
      <c r="G167" s="565">
        <v>20000</v>
      </c>
      <c r="H167" s="565"/>
      <c r="I167" s="565"/>
      <c r="J167" s="608">
        <v>20000</v>
      </c>
      <c r="K167" s="4"/>
      <c r="L167" s="4"/>
      <c r="M167" s="31"/>
      <c r="N167" s="31"/>
      <c r="O167" s="10"/>
      <c r="P167" s="357"/>
      <c r="Q167" s="29"/>
      <c r="R167" s="16">
        <f>J167</f>
        <v>20000</v>
      </c>
      <c r="T167" s="29"/>
      <c r="U167" s="29"/>
    </row>
    <row r="168" spans="2:21" ht="14.25" thickBot="1">
      <c r="B168" s="523" t="s">
        <v>209</v>
      </c>
      <c r="C168" s="524"/>
      <c r="D168" s="408">
        <v>12500</v>
      </c>
      <c r="E168" s="482"/>
      <c r="F168" s="482"/>
      <c r="G168" s="408"/>
      <c r="H168" s="408"/>
      <c r="I168" s="408"/>
      <c r="J168" s="603"/>
      <c r="K168" s="4"/>
      <c r="L168" s="4"/>
      <c r="M168" s="31"/>
      <c r="N168" s="31"/>
      <c r="O168" s="10"/>
      <c r="P168" s="359"/>
      <c r="T168" s="29"/>
      <c r="U168" s="29"/>
    </row>
    <row r="169" spans="1:21" s="11" customFormat="1" ht="14.25" thickBot="1">
      <c r="A169" s="124"/>
      <c r="B169" s="490" t="s">
        <v>5</v>
      </c>
      <c r="C169" s="173">
        <f aca="true" t="shared" si="12" ref="C169:J169">SUM(C158:C168)</f>
        <v>1311629</v>
      </c>
      <c r="D169" s="360">
        <f t="shared" si="12"/>
        <v>1460110</v>
      </c>
      <c r="E169" s="149">
        <f t="shared" si="12"/>
        <v>1313977</v>
      </c>
      <c r="F169" s="149">
        <f t="shared" si="12"/>
        <v>1348334</v>
      </c>
      <c r="G169" s="360">
        <f t="shared" si="12"/>
        <v>1624688</v>
      </c>
      <c r="H169" s="360">
        <f t="shared" si="12"/>
        <v>544858</v>
      </c>
      <c r="I169" s="360">
        <f t="shared" si="12"/>
        <v>695329</v>
      </c>
      <c r="J169" s="360">
        <f t="shared" si="12"/>
        <v>1744691</v>
      </c>
      <c r="K169" s="51"/>
      <c r="L169" s="85"/>
      <c r="M169" s="51"/>
      <c r="N169" s="51"/>
      <c r="O169" s="83"/>
      <c r="P169" s="124"/>
      <c r="R169" s="510">
        <f>SUM(R163:R168)</f>
        <v>115000</v>
      </c>
      <c r="S169" s="500"/>
      <c r="T169" s="52"/>
      <c r="U169" s="52"/>
    </row>
    <row r="170" spans="1:21" s="11" customFormat="1" ht="9" customHeight="1" thickBot="1">
      <c r="A170" s="124"/>
      <c r="B170" s="137"/>
      <c r="C170" s="51"/>
      <c r="D170" s="51"/>
      <c r="E170" s="5"/>
      <c r="F170" s="5"/>
      <c r="G170" s="367"/>
      <c r="H170" s="367"/>
      <c r="I170" s="367"/>
      <c r="J170" s="609"/>
      <c r="K170" s="51"/>
      <c r="L170" s="85"/>
      <c r="M170" s="51"/>
      <c r="N170" s="51"/>
      <c r="O170" s="83"/>
      <c r="P170" s="124"/>
      <c r="S170" s="500"/>
      <c r="T170" s="52"/>
      <c r="U170" s="52"/>
    </row>
    <row r="171" spans="1:21" s="11" customFormat="1" ht="15" thickBot="1" thickTop="1">
      <c r="A171" s="124"/>
      <c r="B171" s="340" t="s">
        <v>169</v>
      </c>
      <c r="C171" s="341"/>
      <c r="D171" s="343">
        <f aca="true" t="shared" si="13" ref="D171:J171">D169-D155</f>
        <v>151681</v>
      </c>
      <c r="E171" s="343">
        <f t="shared" si="13"/>
        <v>0</v>
      </c>
      <c r="F171" s="343">
        <f t="shared" si="13"/>
        <v>175747</v>
      </c>
      <c r="G171" s="343">
        <f t="shared" si="13"/>
        <v>0</v>
      </c>
      <c r="H171" s="343">
        <f t="shared" si="13"/>
        <v>90732</v>
      </c>
      <c r="I171" s="343">
        <f t="shared" si="13"/>
        <v>114939</v>
      </c>
      <c r="J171" s="610">
        <f t="shared" si="13"/>
        <v>0</v>
      </c>
      <c r="K171" s="51"/>
      <c r="L171" s="85"/>
      <c r="M171" s="51"/>
      <c r="N171" s="51"/>
      <c r="O171" s="83"/>
      <c r="P171" s="124"/>
      <c r="S171" s="500"/>
      <c r="T171" s="52"/>
      <c r="U171" s="52"/>
    </row>
    <row r="172" spans="1:21" s="11" customFormat="1" ht="14.25" thickTop="1">
      <c r="A172" s="124"/>
      <c r="B172" s="137"/>
      <c r="C172" s="51"/>
      <c r="D172" s="51"/>
      <c r="E172" s="5"/>
      <c r="F172" s="5"/>
      <c r="G172" s="367"/>
      <c r="H172" s="367"/>
      <c r="I172" s="367"/>
      <c r="J172" s="609"/>
      <c r="K172" s="51"/>
      <c r="L172" s="85"/>
      <c r="M172" s="51"/>
      <c r="N172" s="51"/>
      <c r="O172" s="83"/>
      <c r="P172" s="124"/>
      <c r="S172" s="500"/>
      <c r="T172" s="52"/>
      <c r="U172" s="52"/>
    </row>
    <row r="173" spans="1:21" s="6" customFormat="1" ht="18" thickBot="1">
      <c r="A173" s="63"/>
      <c r="B173" s="875" t="s">
        <v>62</v>
      </c>
      <c r="C173" s="875"/>
      <c r="D173" s="875"/>
      <c r="E173" s="875"/>
      <c r="F173" s="875"/>
      <c r="G173" s="875"/>
      <c r="H173" s="875"/>
      <c r="I173" s="875"/>
      <c r="J173" s="875"/>
      <c r="K173" s="875"/>
      <c r="L173" s="875"/>
      <c r="M173" s="875"/>
      <c r="N173" s="875"/>
      <c r="O173" s="875"/>
      <c r="P173" s="63"/>
      <c r="S173" s="7"/>
      <c r="T173" s="25"/>
      <c r="U173" s="25"/>
    </row>
    <row r="174" spans="1:19" s="25" customFormat="1" ht="15">
      <c r="A174" s="68"/>
      <c r="B174" s="454" t="s">
        <v>0</v>
      </c>
      <c r="C174" s="93" t="s">
        <v>299</v>
      </c>
      <c r="D174" s="350" t="s">
        <v>137</v>
      </c>
      <c r="E174" s="93" t="s">
        <v>299</v>
      </c>
      <c r="F174" s="350" t="s">
        <v>137</v>
      </c>
      <c r="G174" s="93" t="s">
        <v>299</v>
      </c>
      <c r="H174" s="350" t="s">
        <v>338</v>
      </c>
      <c r="I174" s="350" t="s">
        <v>338</v>
      </c>
      <c r="J174" s="598" t="s">
        <v>165</v>
      </c>
      <c r="K174" s="9"/>
      <c r="L174" s="36"/>
      <c r="M174" s="1"/>
      <c r="N174" s="1"/>
      <c r="O174" s="41"/>
      <c r="P174" s="351" t="s">
        <v>136</v>
      </c>
      <c r="S174" s="57"/>
    </row>
    <row r="175" spans="1:19" s="25" customFormat="1" ht="15.75" thickBot="1">
      <c r="A175" s="68"/>
      <c r="B175" s="455"/>
      <c r="C175" s="539">
        <v>2015</v>
      </c>
      <c r="D175" s="353">
        <v>2015</v>
      </c>
      <c r="E175" s="540">
        <v>2016</v>
      </c>
      <c r="F175" s="540">
        <v>2016</v>
      </c>
      <c r="G175" s="353">
        <v>2017</v>
      </c>
      <c r="H175" s="418" t="s">
        <v>339</v>
      </c>
      <c r="I175" s="418" t="s">
        <v>359</v>
      </c>
      <c r="J175" s="599" t="s">
        <v>300</v>
      </c>
      <c r="K175" s="9"/>
      <c r="L175" s="36"/>
      <c r="M175" s="1"/>
      <c r="N175" s="1"/>
      <c r="O175" s="41"/>
      <c r="P175" s="355"/>
      <c r="S175" s="57"/>
    </row>
    <row r="176" spans="1:19" s="25" customFormat="1" ht="13.5">
      <c r="A176" s="68"/>
      <c r="B176" s="476" t="s">
        <v>1</v>
      </c>
      <c r="C176" s="477">
        <v>10000</v>
      </c>
      <c r="D176" s="411">
        <v>0</v>
      </c>
      <c r="E176" s="410">
        <f>C176</f>
        <v>10000</v>
      </c>
      <c r="F176" s="410">
        <v>0</v>
      </c>
      <c r="G176" s="411">
        <v>5000</v>
      </c>
      <c r="H176" s="411">
        <v>0</v>
      </c>
      <c r="I176" s="411"/>
      <c r="J176" s="601">
        <v>5000</v>
      </c>
      <c r="K176" s="4"/>
      <c r="L176" s="4"/>
      <c r="M176" s="31"/>
      <c r="N176" s="31"/>
      <c r="O176" s="10"/>
      <c r="P176" s="374"/>
      <c r="S176" s="57"/>
    </row>
    <row r="177" spans="1:19" s="25" customFormat="1" ht="13.5">
      <c r="A177" s="68"/>
      <c r="B177" s="473" t="s">
        <v>8</v>
      </c>
      <c r="C177" s="468">
        <v>40000</v>
      </c>
      <c r="D177" s="398">
        <v>12723</v>
      </c>
      <c r="E177" s="397">
        <f>C177</f>
        <v>40000</v>
      </c>
      <c r="F177" s="397">
        <v>71068</v>
      </c>
      <c r="G177" s="398">
        <v>20000</v>
      </c>
      <c r="H177" s="398">
        <v>12003</v>
      </c>
      <c r="I177" s="398">
        <v>1728</v>
      </c>
      <c r="J177" s="602">
        <v>20000</v>
      </c>
      <c r="K177" s="4"/>
      <c r="L177" s="4"/>
      <c r="M177" s="31"/>
      <c r="N177" s="31"/>
      <c r="O177" s="10"/>
      <c r="P177" s="375"/>
      <c r="S177" s="57"/>
    </row>
    <row r="178" spans="1:19" s="25" customFormat="1" ht="13.5">
      <c r="A178" s="68"/>
      <c r="B178" s="473" t="s">
        <v>9</v>
      </c>
      <c r="C178" s="468">
        <v>1000</v>
      </c>
      <c r="D178" s="398">
        <v>115</v>
      </c>
      <c r="E178" s="397">
        <f>C178</f>
        <v>1000</v>
      </c>
      <c r="F178" s="397">
        <v>64</v>
      </c>
      <c r="G178" s="398">
        <v>5000</v>
      </c>
      <c r="H178" s="398">
        <v>3630</v>
      </c>
      <c r="I178" s="398">
        <v>3630</v>
      </c>
      <c r="J178" s="602">
        <v>5000</v>
      </c>
      <c r="K178" s="4"/>
      <c r="L178" s="4"/>
      <c r="M178" s="31"/>
      <c r="N178" s="31"/>
      <c r="O178" s="10"/>
      <c r="P178" s="375"/>
      <c r="S178" s="57"/>
    </row>
    <row r="179" spans="1:19" s="25" customFormat="1" ht="13.5">
      <c r="A179" s="68"/>
      <c r="B179" s="473" t="s">
        <v>16</v>
      </c>
      <c r="C179" s="468">
        <v>95000</v>
      </c>
      <c r="D179" s="398"/>
      <c r="E179" s="397">
        <f>C179</f>
        <v>95000</v>
      </c>
      <c r="F179" s="397">
        <v>3014</v>
      </c>
      <c r="G179" s="398">
        <v>22000</v>
      </c>
      <c r="H179" s="398">
        <v>3988</v>
      </c>
      <c r="I179" s="398">
        <v>6086</v>
      </c>
      <c r="J179" s="602">
        <f>22000-2000</f>
        <v>20000</v>
      </c>
      <c r="K179" s="27"/>
      <c r="L179" s="4"/>
      <c r="M179" s="31"/>
      <c r="N179" s="31"/>
      <c r="O179" s="10"/>
      <c r="P179" s="375"/>
      <c r="S179" s="57"/>
    </row>
    <row r="180" spans="1:19" s="25" customFormat="1" ht="13.5">
      <c r="A180" s="68"/>
      <c r="B180" s="561" t="s">
        <v>10</v>
      </c>
      <c r="C180" s="562">
        <v>612871</v>
      </c>
      <c r="D180" s="547">
        <v>618557</v>
      </c>
      <c r="E180" s="548">
        <v>615136</v>
      </c>
      <c r="F180" s="548">
        <v>562379</v>
      </c>
      <c r="G180" s="547">
        <v>846137</v>
      </c>
      <c r="H180" s="547">
        <v>342381</v>
      </c>
      <c r="I180" s="547">
        <v>413867</v>
      </c>
      <c r="J180" s="616">
        <v>1108312</v>
      </c>
      <c r="K180" s="4"/>
      <c r="L180" s="4"/>
      <c r="M180" s="31"/>
      <c r="N180" s="31"/>
      <c r="O180" s="10"/>
      <c r="P180" s="357"/>
      <c r="Q180" s="124" t="s">
        <v>174</v>
      </c>
      <c r="S180" s="57"/>
    </row>
    <row r="181" spans="1:19" s="25" customFormat="1" ht="13.5">
      <c r="A181" s="68">
        <v>1351</v>
      </c>
      <c r="B181" s="473" t="s">
        <v>65</v>
      </c>
      <c r="C181" s="468">
        <v>90000</v>
      </c>
      <c r="D181" s="398">
        <v>70399</v>
      </c>
      <c r="E181" s="397">
        <f>C181</f>
        <v>90000</v>
      </c>
      <c r="F181" s="397">
        <v>85637</v>
      </c>
      <c r="G181" s="398">
        <v>90000</v>
      </c>
      <c r="H181" s="398">
        <v>8800</v>
      </c>
      <c r="I181" s="398">
        <v>8800</v>
      </c>
      <c r="J181" s="602">
        <v>80000</v>
      </c>
      <c r="K181" s="4"/>
      <c r="L181" s="4"/>
      <c r="M181" s="31"/>
      <c r="N181" s="31"/>
      <c r="O181" s="10"/>
      <c r="P181" s="357" t="s">
        <v>253</v>
      </c>
      <c r="Q181" s="57">
        <f>J181</f>
        <v>80000</v>
      </c>
      <c r="S181" s="57"/>
    </row>
    <row r="182" spans="1:19" s="25" customFormat="1" ht="13.5">
      <c r="A182" s="68">
        <v>1350</v>
      </c>
      <c r="B182" s="473" t="s">
        <v>210</v>
      </c>
      <c r="C182" s="468">
        <v>30000</v>
      </c>
      <c r="D182" s="398">
        <v>16000</v>
      </c>
      <c r="E182" s="397">
        <f>C182</f>
        <v>30000</v>
      </c>
      <c r="F182" s="397">
        <v>23774</v>
      </c>
      <c r="G182" s="398">
        <v>30000</v>
      </c>
      <c r="H182" s="398">
        <v>16444</v>
      </c>
      <c r="I182" s="398">
        <v>16444</v>
      </c>
      <c r="J182" s="602">
        <v>30000</v>
      </c>
      <c r="K182" s="4"/>
      <c r="L182" s="4"/>
      <c r="M182" s="31"/>
      <c r="N182" s="31"/>
      <c r="O182" s="10"/>
      <c r="P182" s="357" t="s">
        <v>149</v>
      </c>
      <c r="Q182" s="57">
        <f>C182</f>
        <v>30000</v>
      </c>
      <c r="S182" s="57"/>
    </row>
    <row r="183" spans="1:19" s="25" customFormat="1" ht="14.25" thickBot="1">
      <c r="A183" s="68">
        <v>1352</v>
      </c>
      <c r="B183" s="493" t="s">
        <v>63</v>
      </c>
      <c r="C183" s="479">
        <v>260000</v>
      </c>
      <c r="D183" s="492">
        <v>110000</v>
      </c>
      <c r="E183" s="422">
        <f>C183</f>
        <v>260000</v>
      </c>
      <c r="F183" s="538">
        <v>236919</v>
      </c>
      <c r="G183" s="492">
        <v>200000</v>
      </c>
      <c r="H183" s="492">
        <v>49530</v>
      </c>
      <c r="I183" s="492">
        <v>62482</v>
      </c>
      <c r="J183" s="614">
        <v>180000</v>
      </c>
      <c r="K183" s="4"/>
      <c r="L183" s="4"/>
      <c r="M183" s="31"/>
      <c r="N183" s="31"/>
      <c r="O183" s="10"/>
      <c r="P183" s="359" t="s">
        <v>147</v>
      </c>
      <c r="Q183" s="57">
        <f>J183</f>
        <v>180000</v>
      </c>
      <c r="S183" s="57"/>
    </row>
    <row r="184" spans="1:19" s="25" customFormat="1" ht="14.25" thickBot="1">
      <c r="A184" s="68"/>
      <c r="B184" s="475" t="s">
        <v>2</v>
      </c>
      <c r="C184" s="173">
        <f aca="true" t="shared" si="14" ref="C184:J184">SUM(C176:C183)</f>
        <v>1138871</v>
      </c>
      <c r="D184" s="360">
        <f t="shared" si="14"/>
        <v>827794</v>
      </c>
      <c r="E184" s="149">
        <f t="shared" si="14"/>
        <v>1141136</v>
      </c>
      <c r="F184" s="149">
        <f t="shared" si="14"/>
        <v>982855</v>
      </c>
      <c r="G184" s="360">
        <f t="shared" si="14"/>
        <v>1218137</v>
      </c>
      <c r="H184" s="360">
        <f t="shared" si="14"/>
        <v>436776</v>
      </c>
      <c r="I184" s="360">
        <f t="shared" si="14"/>
        <v>513037</v>
      </c>
      <c r="J184" s="360">
        <f t="shared" si="14"/>
        <v>1448312</v>
      </c>
      <c r="K184" s="5"/>
      <c r="L184" s="85"/>
      <c r="M184" s="51"/>
      <c r="N184" s="51"/>
      <c r="O184" s="83"/>
      <c r="P184" s="68"/>
      <c r="Q184" s="509">
        <f>SUM(Q181:Q183)</f>
        <v>290000</v>
      </c>
      <c r="S184" s="57"/>
    </row>
    <row r="185" spans="1:19" s="29" customFormat="1" ht="15.75" thickBot="1">
      <c r="A185" s="278"/>
      <c r="B185" s="21"/>
      <c r="C185" s="23"/>
      <c r="D185" s="362"/>
      <c r="E185" s="22"/>
      <c r="F185" s="22"/>
      <c r="G185" s="362"/>
      <c r="H185" s="362"/>
      <c r="I185" s="362"/>
      <c r="J185" s="611"/>
      <c r="K185" s="31"/>
      <c r="L185" s="31"/>
      <c r="M185" s="31"/>
      <c r="N185" s="31"/>
      <c r="O185" s="10"/>
      <c r="P185" s="278"/>
      <c r="S185" s="134"/>
    </row>
    <row r="186" spans="1:19" s="29" customFormat="1" ht="15.75" thickBot="1">
      <c r="A186" s="278"/>
      <c r="B186" s="24" t="s">
        <v>3</v>
      </c>
      <c r="C186" s="23"/>
      <c r="D186" s="362"/>
      <c r="E186" s="22"/>
      <c r="F186" s="22"/>
      <c r="G186" s="362"/>
      <c r="H186" s="362"/>
      <c r="I186" s="362"/>
      <c r="J186" s="611"/>
      <c r="K186" s="31"/>
      <c r="L186" s="31"/>
      <c r="M186" s="31"/>
      <c r="N186" s="31"/>
      <c r="O186" s="10"/>
      <c r="P186" s="278"/>
      <c r="R186" s="16" t="s">
        <v>263</v>
      </c>
      <c r="S186" s="134"/>
    </row>
    <row r="187" spans="1:19" s="29" customFormat="1" ht="13.5">
      <c r="A187" s="278"/>
      <c r="B187" s="568" t="s">
        <v>333</v>
      </c>
      <c r="C187" s="569">
        <v>30000</v>
      </c>
      <c r="D187" s="570">
        <v>16000</v>
      </c>
      <c r="E187" s="571">
        <f>C187</f>
        <v>30000</v>
      </c>
      <c r="F187" s="571">
        <v>30000</v>
      </c>
      <c r="G187" s="570">
        <v>30000</v>
      </c>
      <c r="H187" s="570">
        <v>10000</v>
      </c>
      <c r="I187" s="570">
        <v>20000</v>
      </c>
      <c r="J187" s="617">
        <v>30000</v>
      </c>
      <c r="K187" s="4"/>
      <c r="L187" s="4"/>
      <c r="M187" s="31"/>
      <c r="N187" s="31"/>
      <c r="O187" s="10"/>
      <c r="P187" s="376"/>
      <c r="R187" s="16">
        <f>J187</f>
        <v>30000</v>
      </c>
      <c r="S187" s="134"/>
    </row>
    <row r="188" spans="1:19" s="29" customFormat="1" ht="13.5">
      <c r="A188" s="278"/>
      <c r="B188" s="572" t="s">
        <v>334</v>
      </c>
      <c r="C188" s="573">
        <v>90000</v>
      </c>
      <c r="D188" s="565">
        <v>70399</v>
      </c>
      <c r="E188" s="566">
        <f>C188</f>
        <v>90000</v>
      </c>
      <c r="F188" s="566">
        <v>90000</v>
      </c>
      <c r="G188" s="565">
        <v>90000</v>
      </c>
      <c r="H188" s="565">
        <v>0</v>
      </c>
      <c r="I188" s="565">
        <v>10000</v>
      </c>
      <c r="J188" s="608">
        <v>80000</v>
      </c>
      <c r="K188" s="4"/>
      <c r="L188" s="4"/>
      <c r="M188" s="31"/>
      <c r="N188" s="31"/>
      <c r="O188" s="10"/>
      <c r="P188" s="364"/>
      <c r="R188" s="16">
        <f>J188</f>
        <v>80000</v>
      </c>
      <c r="S188" s="134"/>
    </row>
    <row r="189" spans="1:19" s="29" customFormat="1" ht="13.5">
      <c r="A189" s="278"/>
      <c r="B189" s="572" t="s">
        <v>335</v>
      </c>
      <c r="C189" s="573">
        <v>260000</v>
      </c>
      <c r="D189" s="565">
        <v>110000</v>
      </c>
      <c r="E189" s="566">
        <f>C189</f>
        <v>260000</v>
      </c>
      <c r="F189" s="566">
        <v>260000</v>
      </c>
      <c r="G189" s="565">
        <v>200000</v>
      </c>
      <c r="H189" s="565">
        <v>20000</v>
      </c>
      <c r="I189" s="565">
        <v>20000</v>
      </c>
      <c r="J189" s="608">
        <v>180000</v>
      </c>
      <c r="K189" s="4"/>
      <c r="L189" s="4"/>
      <c r="M189" s="31"/>
      <c r="N189" s="31"/>
      <c r="O189" s="10"/>
      <c r="P189" s="364"/>
      <c r="R189" s="16">
        <f>J189</f>
        <v>180000</v>
      </c>
      <c r="S189" s="134"/>
    </row>
    <row r="190" spans="1:19" s="29" customFormat="1" ht="14.25" thickBot="1">
      <c r="A190" s="278"/>
      <c r="B190" s="495" t="s">
        <v>4</v>
      </c>
      <c r="C190" s="563">
        <v>758871</v>
      </c>
      <c r="D190" s="555">
        <v>735000</v>
      </c>
      <c r="E190" s="556">
        <v>761136</v>
      </c>
      <c r="F190" s="556">
        <v>761136</v>
      </c>
      <c r="G190" s="555">
        <v>898137</v>
      </c>
      <c r="H190" s="564">
        <v>370607</v>
      </c>
      <c r="I190" s="556">
        <v>444730</v>
      </c>
      <c r="J190" s="613">
        <v>1158312</v>
      </c>
      <c r="K190" s="4"/>
      <c r="L190" s="4"/>
      <c r="M190" s="31"/>
      <c r="N190" s="31"/>
      <c r="O190" s="10"/>
      <c r="P190" s="646"/>
      <c r="R190" s="16"/>
      <c r="S190" s="134"/>
    </row>
    <row r="191" spans="1:19" s="29" customFormat="1" ht="14.25" thickBot="1">
      <c r="A191" s="278"/>
      <c r="B191" s="490" t="s">
        <v>5</v>
      </c>
      <c r="C191" s="173">
        <f aca="true" t="shared" si="15" ref="C191:J191">SUM(C187:C190)</f>
        <v>1138871</v>
      </c>
      <c r="D191" s="360">
        <f t="shared" si="15"/>
        <v>931399</v>
      </c>
      <c r="E191" s="149">
        <f t="shared" si="15"/>
        <v>1141136</v>
      </c>
      <c r="F191" s="149">
        <f t="shared" si="15"/>
        <v>1141136</v>
      </c>
      <c r="G191" s="360">
        <f t="shared" si="15"/>
        <v>1218137</v>
      </c>
      <c r="H191" s="360">
        <f t="shared" si="15"/>
        <v>400607</v>
      </c>
      <c r="I191" s="360">
        <f t="shared" si="15"/>
        <v>494730</v>
      </c>
      <c r="J191" s="360">
        <f t="shared" si="15"/>
        <v>1448312</v>
      </c>
      <c r="K191" s="51"/>
      <c r="L191" s="85"/>
      <c r="M191" s="51"/>
      <c r="N191" s="51"/>
      <c r="O191" s="83"/>
      <c r="P191" s="278"/>
      <c r="R191" s="510">
        <f>SUM(R187:R190)</f>
        <v>290000</v>
      </c>
      <c r="S191" s="134"/>
    </row>
    <row r="192" spans="1:19" s="29" customFormat="1" ht="7.5" customHeight="1" thickBot="1">
      <c r="A192" s="278"/>
      <c r="B192" s="68"/>
      <c r="C192" s="68"/>
      <c r="D192" s="344"/>
      <c r="E192" s="68"/>
      <c r="F192" s="68"/>
      <c r="G192" s="344"/>
      <c r="H192" s="344"/>
      <c r="I192" s="344"/>
      <c r="J192" s="618"/>
      <c r="P192" s="278"/>
      <c r="S192" s="134"/>
    </row>
    <row r="193" spans="1:19" s="29" customFormat="1" ht="15" thickBot="1" thickTop="1">
      <c r="A193" s="278"/>
      <c r="B193" s="340" t="s">
        <v>224</v>
      </c>
      <c r="C193" s="341"/>
      <c r="D193" s="343">
        <f aca="true" t="shared" si="16" ref="D193:J193">D191-D184</f>
        <v>103605</v>
      </c>
      <c r="E193" s="343">
        <f t="shared" si="16"/>
        <v>0</v>
      </c>
      <c r="F193" s="343">
        <f t="shared" si="16"/>
        <v>158281</v>
      </c>
      <c r="G193" s="343">
        <f t="shared" si="16"/>
        <v>0</v>
      </c>
      <c r="H193" s="343">
        <f t="shared" si="16"/>
        <v>-36169</v>
      </c>
      <c r="I193" s="343">
        <f t="shared" si="16"/>
        <v>-18307</v>
      </c>
      <c r="J193" s="610">
        <f t="shared" si="16"/>
        <v>0</v>
      </c>
      <c r="P193" s="278"/>
      <c r="S193" s="134"/>
    </row>
    <row r="194" spans="1:19" s="29" customFormat="1" ht="10.5" customHeight="1" thickBot="1" thickTop="1">
      <c r="A194" s="278"/>
      <c r="B194" s="68"/>
      <c r="C194" s="68"/>
      <c r="D194" s="68"/>
      <c r="E194" s="68"/>
      <c r="F194" s="68"/>
      <c r="G194" s="344"/>
      <c r="H194" s="344"/>
      <c r="I194" s="344"/>
      <c r="J194" s="618"/>
      <c r="P194" s="278"/>
      <c r="S194" s="134"/>
    </row>
    <row r="195" spans="1:19" s="29" customFormat="1" ht="15" thickBot="1" thickTop="1">
      <c r="A195" s="278"/>
      <c r="B195" s="340" t="s">
        <v>361</v>
      </c>
      <c r="C195" s="341"/>
      <c r="D195" s="343">
        <f aca="true" t="shared" si="17" ref="D195:J195">D193+D171+D137+D114</f>
        <v>233544</v>
      </c>
      <c r="E195" s="343">
        <f t="shared" si="17"/>
        <v>0</v>
      </c>
      <c r="F195" s="343">
        <f t="shared" si="17"/>
        <v>472042</v>
      </c>
      <c r="G195" s="343">
        <f t="shared" si="17"/>
        <v>0</v>
      </c>
      <c r="H195" s="343">
        <f t="shared" si="17"/>
        <v>-208</v>
      </c>
      <c r="I195" s="343">
        <f t="shared" si="17"/>
        <v>339693</v>
      </c>
      <c r="J195" s="343">
        <f t="shared" si="17"/>
        <v>0</v>
      </c>
      <c r="P195" s="278"/>
      <c r="Q195" s="366" t="s">
        <v>264</v>
      </c>
      <c r="R195" s="503">
        <f>R191+R169+R112</f>
        <v>2765000</v>
      </c>
      <c r="S195" s="134"/>
    </row>
    <row r="196" spans="1:19" s="29" customFormat="1" ht="14.25" thickBot="1" thickTop="1">
      <c r="A196" s="278"/>
      <c r="B196" s="68"/>
      <c r="C196" s="68"/>
      <c r="D196" s="68"/>
      <c r="E196" s="68"/>
      <c r="F196" s="68"/>
      <c r="G196" s="344"/>
      <c r="H196" s="344"/>
      <c r="I196" s="344"/>
      <c r="J196" s="618"/>
      <c r="P196" s="278"/>
      <c r="S196" s="134"/>
    </row>
    <row r="197" spans="1:19" s="29" customFormat="1" ht="12.75">
      <c r="A197" s="278"/>
      <c r="B197" s="650"/>
      <c r="C197" s="651"/>
      <c r="D197" s="651"/>
      <c r="E197" s="652" t="s">
        <v>354</v>
      </c>
      <c r="F197" s="653" t="s">
        <v>355</v>
      </c>
      <c r="G197" s="652" t="s">
        <v>353</v>
      </c>
      <c r="H197" s="652"/>
      <c r="I197" s="654" t="s">
        <v>213</v>
      </c>
      <c r="J197" s="655" t="s">
        <v>316</v>
      </c>
      <c r="K197" s="656"/>
      <c r="L197" s="656"/>
      <c r="M197" s="656"/>
      <c r="N197" s="656"/>
      <c r="O197" s="656"/>
      <c r="P197" s="657" t="s">
        <v>289</v>
      </c>
      <c r="S197" s="134"/>
    </row>
    <row r="198" spans="1:19" s="29" customFormat="1" ht="12.75">
      <c r="A198" s="278"/>
      <c r="B198" s="658" t="s">
        <v>214</v>
      </c>
      <c r="C198" s="659"/>
      <c r="D198" s="659"/>
      <c r="E198" s="660">
        <f>E190+E161+E134+E66+E64</f>
        <v>9907866</v>
      </c>
      <c r="F198" s="660">
        <f>F190+F161+F134+F66+F64</f>
        <v>9877604</v>
      </c>
      <c r="G198" s="660">
        <f>G190+G161+G134+G66+G64</f>
        <v>10779137</v>
      </c>
      <c r="H198" s="661"/>
      <c r="I198" s="660">
        <f>I190+I161+I134+I66</f>
        <v>5289060</v>
      </c>
      <c r="J198" s="660">
        <f>J190+J161+J134+J66</f>
        <v>12033774</v>
      </c>
      <c r="K198" s="662"/>
      <c r="L198" s="662"/>
      <c r="M198" s="662"/>
      <c r="N198" s="662"/>
      <c r="O198" s="662"/>
      <c r="P198" s="663">
        <f>J198/G198</f>
        <v>1.116394939594886</v>
      </c>
      <c r="S198" s="134"/>
    </row>
    <row r="199" spans="1:19" s="29" customFormat="1" ht="12.75">
      <c r="A199" s="278"/>
      <c r="B199" s="658" t="s">
        <v>336</v>
      </c>
      <c r="C199" s="659"/>
      <c r="D199" s="659"/>
      <c r="E199" s="660"/>
      <c r="F199" s="660">
        <f>F189+F188+F187+F167+F166+F164+F163+F162+F96+F94+F92+F90+F89+F87+F84+F83+F85+F81+F79+F78+F77+F76+F74+F72+F67</f>
        <v>2920045</v>
      </c>
      <c r="G199" s="660">
        <f>G189+G188+G187+G167+G166+G164+G163+G101+G100+G96+G95+G94+G92+G91+G90+G88+G85+G84+G83+G81+G79+G78+G77+G76+G74+G71+G67+G87</f>
        <v>2935500</v>
      </c>
      <c r="H199" s="661"/>
      <c r="I199" s="660">
        <f>I189+I188+I187+I167+I166+I164+I163+I101+I100+I96+I95+I94+I92+I91+I90+I88+I85+I84+I83+I81+I79+I78+I77+I76+I74+I71+I67+I87</f>
        <v>766000</v>
      </c>
      <c r="J199" s="661">
        <f>R195</f>
        <v>2765000</v>
      </c>
      <c r="K199" s="662"/>
      <c r="L199" s="662"/>
      <c r="M199" s="662"/>
      <c r="N199" s="662"/>
      <c r="O199" s="662"/>
      <c r="P199" s="663">
        <f>J199/G199</f>
        <v>0.9419179015499914</v>
      </c>
      <c r="S199" s="134"/>
    </row>
    <row r="200" spans="1:19" s="29" customFormat="1" ht="12.75">
      <c r="A200" s="278"/>
      <c r="B200" s="658"/>
      <c r="C200" s="659"/>
      <c r="D200" s="659"/>
      <c r="E200" s="660">
        <f>SUM(E198:E199)</f>
        <v>9907866</v>
      </c>
      <c r="F200" s="660">
        <f>SUM(F198:F199)</f>
        <v>12797649</v>
      </c>
      <c r="G200" s="660">
        <f>SUM(G198:G199)</f>
        <v>13714637</v>
      </c>
      <c r="H200" s="661"/>
      <c r="I200" s="660">
        <f>SUM(I198:I199)</f>
        <v>6055060</v>
      </c>
      <c r="J200" s="661">
        <f>SUM(J198:J199)</f>
        <v>14798774</v>
      </c>
      <c r="K200" s="662"/>
      <c r="L200" s="662"/>
      <c r="M200" s="662"/>
      <c r="N200" s="662"/>
      <c r="O200" s="662"/>
      <c r="P200" s="663">
        <f>J200/G200</f>
        <v>1.0790496314266285</v>
      </c>
      <c r="S200" s="134"/>
    </row>
    <row r="201" spans="2:21" ht="12.75">
      <c r="B201" s="664" t="s">
        <v>215</v>
      </c>
      <c r="C201" s="665"/>
      <c r="D201" s="665"/>
      <c r="E201" s="666">
        <f>E180+E154+E127+E15</f>
        <v>5698869</v>
      </c>
      <c r="F201" s="666">
        <f>F180+F154+F127+F15</f>
        <v>5516606</v>
      </c>
      <c r="G201" s="666">
        <f>G180+G154+G127+G15</f>
        <v>6865165</v>
      </c>
      <c r="H201" s="667"/>
      <c r="I201" s="666">
        <f>I180+I154+I127+I15</f>
        <v>3077368</v>
      </c>
      <c r="J201" s="666">
        <f>J180+J154+J127+J15</f>
        <v>8300923</v>
      </c>
      <c r="K201" s="668"/>
      <c r="L201" s="668"/>
      <c r="M201" s="668"/>
      <c r="N201" s="668"/>
      <c r="O201" s="668"/>
      <c r="P201" s="663">
        <f>J201/G201</f>
        <v>1.2091367068380732</v>
      </c>
      <c r="T201" s="29"/>
      <c r="U201" s="29"/>
    </row>
    <row r="202" spans="2:21" ht="12.75">
      <c r="B202" s="669"/>
      <c r="C202" s="670"/>
      <c r="D202" s="670"/>
      <c r="E202" s="670"/>
      <c r="F202" s="670" t="s">
        <v>173</v>
      </c>
      <c r="G202" s="671"/>
      <c r="H202" s="671"/>
      <c r="I202" s="671"/>
      <c r="J202" s="667"/>
      <c r="K202" s="670"/>
      <c r="L202" s="670"/>
      <c r="M202" s="670"/>
      <c r="N202" s="670"/>
      <c r="O202" s="670"/>
      <c r="P202" s="672"/>
      <c r="T202" s="29"/>
      <c r="U202" s="29"/>
    </row>
    <row r="203" spans="2:21" ht="12.75">
      <c r="B203" s="658" t="s">
        <v>357</v>
      </c>
      <c r="C203" s="670"/>
      <c r="D203" s="670"/>
      <c r="E203" s="667">
        <f>E184+E155+E128+E58</f>
        <v>16297462</v>
      </c>
      <c r="F203" s="667">
        <f>F184+F155+F128+F58</f>
        <v>16002427</v>
      </c>
      <c r="G203" s="667">
        <f>G184+G155+G128+G58</f>
        <v>17513237</v>
      </c>
      <c r="H203" s="671"/>
      <c r="I203" s="667">
        <f>I184+I155+I128+I58</f>
        <v>7644189</v>
      </c>
      <c r="J203" s="667">
        <f>J184+J155+J128+J58</f>
        <v>18189874</v>
      </c>
      <c r="K203" s="670"/>
      <c r="L203" s="670"/>
      <c r="M203" s="670"/>
      <c r="N203" s="670"/>
      <c r="O203" s="670"/>
      <c r="P203" s="672"/>
      <c r="T203" s="29"/>
      <c r="U203" s="29"/>
    </row>
    <row r="204" spans="2:16" ht="13.5" thickBot="1">
      <c r="B204" s="673" t="s">
        <v>358</v>
      </c>
      <c r="C204" s="674"/>
      <c r="D204" s="674"/>
      <c r="E204" s="675">
        <f>E191+E169+E135+E112</f>
        <v>16297462</v>
      </c>
      <c r="F204" s="675">
        <f>F191+F169+F135+F112</f>
        <v>16474469</v>
      </c>
      <c r="G204" s="675">
        <f>G191+G169+G135+G112</f>
        <v>17513237</v>
      </c>
      <c r="H204" s="676"/>
      <c r="I204" s="675">
        <f>I191+I169+I135+I112</f>
        <v>7983882</v>
      </c>
      <c r="J204" s="675">
        <f>J191+J169+J135+J112</f>
        <v>18189874</v>
      </c>
      <c r="K204" s="674"/>
      <c r="L204" s="674"/>
      <c r="M204" s="674"/>
      <c r="N204" s="674"/>
      <c r="O204" s="674"/>
      <c r="P204" s="677"/>
    </row>
    <row r="205" spans="2:5" ht="12.75">
      <c r="B205" s="63"/>
      <c r="E205" t="s">
        <v>173</v>
      </c>
    </row>
    <row r="207" ht="12.75">
      <c r="P207" s="649">
        <f>J200-14798776</f>
        <v>-2</v>
      </c>
    </row>
  </sheetData>
  <sheetProtection/>
  <mergeCells count="4">
    <mergeCell ref="B2:O2"/>
    <mergeCell ref="B116:L116"/>
    <mergeCell ref="B139:O139"/>
    <mergeCell ref="B173:O17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4" r:id="rId1"/>
  <headerFooter>
    <oddHeader>&amp;LPoslední návrh se změnou mezd od 1.11.2017</oddHeader>
    <oddFooter>&amp;L&amp;D&amp;C&amp;P</oddFooter>
  </headerFooter>
  <rowBreaks count="3" manualBreakCount="3">
    <brk id="58" max="18" man="1"/>
    <brk id="114" max="18" man="1"/>
    <brk id="172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207"/>
  <sheetViews>
    <sheetView workbookViewId="0" topLeftCell="A1">
      <selection activeCell="A2" sqref="A2:C2"/>
    </sheetView>
  </sheetViews>
  <sheetFormatPr defaultColWidth="9.00390625" defaultRowHeight="12.75"/>
  <cols>
    <col min="1" max="1" width="4.375" style="124" customWidth="1"/>
    <col min="2" max="2" width="44.00390625" style="0" customWidth="1"/>
    <col min="3" max="4" width="12.875" style="0" hidden="1" customWidth="1"/>
    <col min="5" max="6" width="12.125" style="0" hidden="1" customWidth="1"/>
    <col min="7" max="8" width="12.00390625" style="382" hidden="1" customWidth="1"/>
    <col min="9" max="9" width="13.00390625" style="382" hidden="1" customWidth="1"/>
    <col min="10" max="10" width="15.00390625" style="611" customWidth="1"/>
    <col min="11" max="11" width="8.50390625" style="0" hidden="1" customWidth="1"/>
    <col min="12" max="15" width="9.125" style="0" hidden="1" customWidth="1"/>
    <col min="16" max="16" width="16.625" style="124" customWidth="1"/>
    <col min="17" max="17" width="9.50390625" style="0" customWidth="1"/>
    <col min="18" max="18" width="10.625" style="0" customWidth="1"/>
    <col min="19" max="19" width="9.125" style="500" customWidth="1"/>
  </cols>
  <sheetData>
    <row r="1" spans="2:16" ht="20.25">
      <c r="B1" s="647" t="s">
        <v>366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8"/>
    </row>
    <row r="2" spans="2:18" ht="20.25">
      <c r="B2" s="873" t="s">
        <v>6</v>
      </c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R2" t="s">
        <v>173</v>
      </c>
    </row>
    <row r="3" spans="1:19" s="10" customFormat="1" ht="5.25" customHeight="1">
      <c r="A3" s="347"/>
      <c r="B3" s="8"/>
      <c r="C3" s="9"/>
      <c r="D3" s="9"/>
      <c r="E3" s="9"/>
      <c r="F3" s="9"/>
      <c r="G3" s="348"/>
      <c r="H3" s="348"/>
      <c r="I3" s="348"/>
      <c r="J3" s="597"/>
      <c r="K3" s="9"/>
      <c r="L3" s="36"/>
      <c r="M3" s="1"/>
      <c r="N3" s="1"/>
      <c r="O3" s="41"/>
      <c r="P3" s="347"/>
      <c r="S3" s="513"/>
    </row>
    <row r="4" spans="1:23" s="10" customFormat="1" ht="11.25" customHeight="1" thickBot="1">
      <c r="A4" s="347"/>
      <c r="B4" s="8"/>
      <c r="C4" s="9"/>
      <c r="D4" s="9"/>
      <c r="E4" s="9"/>
      <c r="F4" s="9"/>
      <c r="G4" s="348"/>
      <c r="H4" s="348"/>
      <c r="I4" s="348"/>
      <c r="J4" s="597"/>
      <c r="K4" s="9"/>
      <c r="L4" s="36"/>
      <c r="M4" s="1"/>
      <c r="N4" s="1"/>
      <c r="O4" s="41"/>
      <c r="P4" s="347"/>
      <c r="Q4" s="131"/>
      <c r="R4" s="131"/>
      <c r="S4" s="502"/>
      <c r="T4" s="29"/>
      <c r="U4" s="29"/>
      <c r="V4" s="29"/>
      <c r="W4" s="29"/>
    </row>
    <row r="5" spans="2:23" ht="15">
      <c r="B5" s="89" t="s">
        <v>7</v>
      </c>
      <c r="C5" s="93" t="s">
        <v>299</v>
      </c>
      <c r="D5" s="350" t="s">
        <v>137</v>
      </c>
      <c r="E5" s="93" t="s">
        <v>299</v>
      </c>
      <c r="F5" s="350" t="s">
        <v>137</v>
      </c>
      <c r="G5" s="93" t="s">
        <v>299</v>
      </c>
      <c r="H5" s="350" t="s">
        <v>338</v>
      </c>
      <c r="I5" s="350" t="s">
        <v>338</v>
      </c>
      <c r="J5" s="386" t="s">
        <v>367</v>
      </c>
      <c r="K5" s="181"/>
      <c r="L5" s="415"/>
      <c r="M5" s="416"/>
      <c r="N5" s="416"/>
      <c r="O5" s="417"/>
      <c r="P5" s="351" t="s">
        <v>136</v>
      </c>
      <c r="Q5" s="131"/>
      <c r="R5" s="25"/>
      <c r="S5" s="57"/>
      <c r="T5" s="29"/>
      <c r="U5" s="29"/>
      <c r="V5" s="29"/>
      <c r="W5" s="29"/>
    </row>
    <row r="6" spans="2:23" ht="15.75" thickBot="1">
      <c r="B6" s="369"/>
      <c r="C6" s="539">
        <v>2015</v>
      </c>
      <c r="D6" s="353">
        <v>2015</v>
      </c>
      <c r="E6" s="540">
        <v>2016</v>
      </c>
      <c r="F6" s="540">
        <v>2016</v>
      </c>
      <c r="G6" s="353">
        <v>2017</v>
      </c>
      <c r="H6" s="418" t="s">
        <v>339</v>
      </c>
      <c r="I6" s="418" t="s">
        <v>359</v>
      </c>
      <c r="J6" s="395" t="s">
        <v>300</v>
      </c>
      <c r="K6" s="182"/>
      <c r="L6" s="419"/>
      <c r="M6" s="420"/>
      <c r="N6" s="420"/>
      <c r="O6" s="421"/>
      <c r="P6" s="355"/>
      <c r="Q6" s="29"/>
      <c r="R6" s="29"/>
      <c r="S6" s="134"/>
      <c r="T6" s="29"/>
      <c r="U6" s="29"/>
      <c r="V6" s="29"/>
      <c r="W6" s="29"/>
    </row>
    <row r="7" spans="1:23" s="2" customFormat="1" ht="12.75" customHeight="1">
      <c r="A7" s="124"/>
      <c r="B7" s="532" t="s">
        <v>307</v>
      </c>
      <c r="C7" s="426">
        <v>1200000</v>
      </c>
      <c r="D7" s="411">
        <v>180273</v>
      </c>
      <c r="E7" s="410">
        <v>203000</v>
      </c>
      <c r="F7" s="410">
        <v>182957</v>
      </c>
      <c r="G7" s="411">
        <v>200000</v>
      </c>
      <c r="H7" s="411">
        <v>79385</v>
      </c>
      <c r="I7" s="411">
        <v>94379</v>
      </c>
      <c r="J7" s="601">
        <v>204000</v>
      </c>
      <c r="K7" s="4"/>
      <c r="L7" s="26"/>
      <c r="M7" s="65"/>
      <c r="N7" s="65"/>
      <c r="O7" s="69"/>
      <c r="P7" s="633"/>
      <c r="Q7" s="57"/>
      <c r="R7" s="57"/>
      <c r="S7" s="57"/>
      <c r="T7" s="70"/>
      <c r="U7" s="70"/>
      <c r="V7" s="70"/>
      <c r="W7" s="70"/>
    </row>
    <row r="8" spans="1:23" s="2" customFormat="1" ht="12.75" customHeight="1">
      <c r="A8" s="124"/>
      <c r="B8" s="533" t="s">
        <v>305</v>
      </c>
      <c r="C8" s="427"/>
      <c r="D8" s="398">
        <v>108606</v>
      </c>
      <c r="E8" s="397">
        <v>77000</v>
      </c>
      <c r="F8" s="397">
        <v>70712</v>
      </c>
      <c r="G8" s="398">
        <v>90000</v>
      </c>
      <c r="H8" s="398">
        <v>34564</v>
      </c>
      <c r="I8" s="398">
        <v>45710</v>
      </c>
      <c r="J8" s="630">
        <v>91800</v>
      </c>
      <c r="K8" s="4"/>
      <c r="L8" s="26"/>
      <c r="M8" s="65"/>
      <c r="N8" s="65"/>
      <c r="O8" s="69"/>
      <c r="P8" s="634"/>
      <c r="Q8" s="57"/>
      <c r="R8" s="57"/>
      <c r="S8" s="57"/>
      <c r="T8" s="70"/>
      <c r="U8" s="70"/>
      <c r="V8" s="70"/>
      <c r="W8" s="70"/>
    </row>
    <row r="9" spans="1:23" s="2" customFormat="1" ht="12.75" customHeight="1">
      <c r="A9" s="124"/>
      <c r="B9" s="533" t="s">
        <v>306</v>
      </c>
      <c r="C9" s="428"/>
      <c r="D9" s="423">
        <v>850526</v>
      </c>
      <c r="E9" s="422">
        <v>920000</v>
      </c>
      <c r="F9" s="422">
        <v>958122</v>
      </c>
      <c r="G9" s="423">
        <v>1000000</v>
      </c>
      <c r="H9" s="423">
        <v>631118</v>
      </c>
      <c r="I9" s="423">
        <v>638962</v>
      </c>
      <c r="J9" s="631">
        <v>1020000</v>
      </c>
      <c r="K9" s="4"/>
      <c r="L9" s="26"/>
      <c r="M9" s="65"/>
      <c r="N9" s="65"/>
      <c r="O9" s="69"/>
      <c r="P9" s="358"/>
      <c r="Q9" s="57"/>
      <c r="R9" s="57"/>
      <c r="S9" s="57"/>
      <c r="T9" s="70"/>
      <c r="U9" s="70"/>
      <c r="V9" s="70"/>
      <c r="W9" s="70"/>
    </row>
    <row r="10" spans="1:23" s="2" customFormat="1" ht="12.75" customHeight="1">
      <c r="A10" s="124"/>
      <c r="B10" s="534" t="s">
        <v>1</v>
      </c>
      <c r="C10" s="426">
        <v>50000</v>
      </c>
      <c r="D10" s="411">
        <v>7811</v>
      </c>
      <c r="E10" s="410">
        <f>C10</f>
        <v>50000</v>
      </c>
      <c r="F10" s="410">
        <v>12631</v>
      </c>
      <c r="G10" s="411">
        <v>50000</v>
      </c>
      <c r="H10" s="411">
        <v>25991</v>
      </c>
      <c r="I10" s="412">
        <v>25991</v>
      </c>
      <c r="J10" s="601">
        <v>50000</v>
      </c>
      <c r="K10" s="4"/>
      <c r="L10" s="26"/>
      <c r="M10" s="65"/>
      <c r="N10" s="65"/>
      <c r="O10" s="69"/>
      <c r="P10" s="357"/>
      <c r="Q10" s="57"/>
      <c r="R10" s="57"/>
      <c r="S10" s="57"/>
      <c r="T10" s="70"/>
      <c r="U10" s="70"/>
      <c r="V10" s="70"/>
      <c r="W10" s="70"/>
    </row>
    <row r="11" spans="1:23" s="2" customFormat="1" ht="12.75" customHeight="1">
      <c r="A11" s="124"/>
      <c r="B11" s="527" t="s">
        <v>8</v>
      </c>
      <c r="C11" s="427">
        <v>395000</v>
      </c>
      <c r="D11" s="398">
        <v>357616</v>
      </c>
      <c r="E11" s="397">
        <f>C11</f>
        <v>395000</v>
      </c>
      <c r="F11" s="397">
        <v>443970</v>
      </c>
      <c r="G11" s="398">
        <v>403000</v>
      </c>
      <c r="H11" s="398">
        <v>84691</v>
      </c>
      <c r="I11" s="399">
        <v>107724</v>
      </c>
      <c r="J11" s="602">
        <v>410000</v>
      </c>
      <c r="K11" s="4"/>
      <c r="L11" s="26"/>
      <c r="M11" s="65"/>
      <c r="N11" s="65"/>
      <c r="O11" s="69"/>
      <c r="P11" s="357"/>
      <c r="Q11" s="57"/>
      <c r="R11" s="57"/>
      <c r="S11" s="57"/>
      <c r="T11" s="70"/>
      <c r="U11" s="70"/>
      <c r="V11" s="70"/>
      <c r="W11" s="70"/>
    </row>
    <row r="12" spans="1:23" s="2" customFormat="1" ht="12.75" customHeight="1">
      <c r="A12" s="124"/>
      <c r="B12" s="527" t="s">
        <v>18</v>
      </c>
      <c r="C12" s="427">
        <v>3300000</v>
      </c>
      <c r="D12" s="398">
        <f>3456317-D22</f>
        <v>3419317</v>
      </c>
      <c r="E12" s="397">
        <v>3074132</v>
      </c>
      <c r="F12" s="397">
        <v>2755358</v>
      </c>
      <c r="G12" s="398">
        <v>1870000</v>
      </c>
      <c r="H12" s="398">
        <v>1242344</v>
      </c>
      <c r="I12" s="399">
        <v>1381095</v>
      </c>
      <c r="J12" s="602">
        <v>1907000</v>
      </c>
      <c r="K12" s="4"/>
      <c r="L12" s="26"/>
      <c r="M12" s="65"/>
      <c r="N12" s="65"/>
      <c r="O12" s="69"/>
      <c r="P12" s="357"/>
      <c r="Q12" s="57"/>
      <c r="R12" s="57"/>
      <c r="S12" s="57"/>
      <c r="T12" s="70"/>
      <c r="U12" s="70"/>
      <c r="V12" s="70"/>
      <c r="W12" s="70"/>
    </row>
    <row r="13" spans="1:23" s="2" customFormat="1" ht="12.75" customHeight="1">
      <c r="A13" s="124"/>
      <c r="B13" s="527" t="s">
        <v>9</v>
      </c>
      <c r="C13" s="427">
        <v>230000</v>
      </c>
      <c r="D13" s="398">
        <v>318</v>
      </c>
      <c r="E13" s="397">
        <f>C13</f>
        <v>230000</v>
      </c>
      <c r="F13" s="397">
        <v>383291</v>
      </c>
      <c r="G13" s="398">
        <v>1040000</v>
      </c>
      <c r="H13" s="398">
        <v>433287</v>
      </c>
      <c r="I13" s="399">
        <v>568683</v>
      </c>
      <c r="J13" s="602">
        <v>1190000</v>
      </c>
      <c r="K13" s="4"/>
      <c r="L13" s="26"/>
      <c r="M13" s="65"/>
      <c r="N13" s="65"/>
      <c r="O13" s="69"/>
      <c r="P13" s="357"/>
      <c r="Q13" s="57"/>
      <c r="R13" s="57"/>
      <c r="S13" s="57"/>
      <c r="T13" s="70"/>
      <c r="U13" s="70"/>
      <c r="V13" s="70"/>
      <c r="W13" s="70"/>
    </row>
    <row r="14" spans="1:23" s="2" customFormat="1" ht="12.75" customHeight="1" hidden="1">
      <c r="A14" s="124"/>
      <c r="B14" s="636" t="s">
        <v>345</v>
      </c>
      <c r="C14" s="635"/>
      <c r="D14" s="403"/>
      <c r="E14" s="402"/>
      <c r="F14" s="402"/>
      <c r="G14" s="403"/>
      <c r="H14" s="403"/>
      <c r="I14" s="637"/>
      <c r="J14" s="638"/>
      <c r="K14" s="4"/>
      <c r="L14" s="26"/>
      <c r="M14" s="65"/>
      <c r="N14" s="65"/>
      <c r="O14" s="69"/>
      <c r="P14" s="357"/>
      <c r="Q14" s="57"/>
      <c r="R14" s="57"/>
      <c r="S14" s="57"/>
      <c r="T14" s="70"/>
      <c r="U14" s="70"/>
      <c r="V14" s="70"/>
      <c r="W14" s="70"/>
    </row>
    <row r="15" spans="1:23" s="2" customFormat="1" ht="12.75" customHeight="1">
      <c r="A15" s="124"/>
      <c r="B15" s="545" t="s">
        <v>10</v>
      </c>
      <c r="C15" s="546">
        <v>3950254</v>
      </c>
      <c r="D15" s="547">
        <v>3339761</v>
      </c>
      <c r="E15" s="548">
        <v>4010430</v>
      </c>
      <c r="F15" s="548">
        <v>3952290</v>
      </c>
      <c r="G15" s="547">
        <v>4615045</v>
      </c>
      <c r="H15" s="547">
        <v>1683327</v>
      </c>
      <c r="I15" s="547">
        <v>2064587</v>
      </c>
      <c r="J15" s="632">
        <v>5470439</v>
      </c>
      <c r="K15" s="4"/>
      <c r="L15" s="26"/>
      <c r="M15" s="81"/>
      <c r="N15" s="81"/>
      <c r="O15" s="69"/>
      <c r="P15" s="357"/>
      <c r="Q15" s="124" t="s">
        <v>174</v>
      </c>
      <c r="R15" s="57"/>
      <c r="S15" s="514" t="s">
        <v>291</v>
      </c>
      <c r="T15" s="70"/>
      <c r="U15" s="70"/>
      <c r="V15" s="70"/>
      <c r="W15" s="70"/>
    </row>
    <row r="16" spans="1:23" s="2" customFormat="1" ht="12.75" customHeight="1">
      <c r="A16" s="124">
        <v>1601</v>
      </c>
      <c r="B16" s="518" t="s">
        <v>349</v>
      </c>
      <c r="C16" s="427">
        <v>950000</v>
      </c>
      <c r="D16" s="398">
        <v>1299917</v>
      </c>
      <c r="E16" s="404">
        <f>C16</f>
        <v>950000</v>
      </c>
      <c r="F16" s="404">
        <v>895685</v>
      </c>
      <c r="G16" s="398">
        <v>1004000</v>
      </c>
      <c r="H16" s="398">
        <v>51774</v>
      </c>
      <c r="I16" s="398">
        <v>53951</v>
      </c>
      <c r="J16" s="602">
        <v>1304500</v>
      </c>
      <c r="K16" s="4"/>
      <c r="L16" s="53"/>
      <c r="M16" s="65"/>
      <c r="N16" s="65"/>
      <c r="O16" s="69"/>
      <c r="P16" s="357"/>
      <c r="Q16" s="57">
        <f>J16</f>
        <v>1304500</v>
      </c>
      <c r="R16" s="348"/>
      <c r="S16" s="57">
        <f>52500+12000</f>
        <v>64500</v>
      </c>
      <c r="T16" s="70"/>
      <c r="U16" s="70"/>
      <c r="V16" s="70"/>
      <c r="W16" s="70"/>
    </row>
    <row r="17" spans="1:23" s="2" customFormat="1" ht="12.75" customHeight="1" hidden="1">
      <c r="A17" s="124"/>
      <c r="B17" s="535" t="s">
        <v>310</v>
      </c>
      <c r="C17" s="429"/>
      <c r="D17" s="406"/>
      <c r="E17" s="405">
        <v>130000</v>
      </c>
      <c r="F17" s="405">
        <v>130000</v>
      </c>
      <c r="G17" s="406"/>
      <c r="H17" s="406"/>
      <c r="I17" s="406"/>
      <c r="J17" s="602"/>
      <c r="K17" s="4"/>
      <c r="L17" s="53"/>
      <c r="M17" s="65"/>
      <c r="N17" s="65"/>
      <c r="O17" s="69"/>
      <c r="P17" s="357"/>
      <c r="Q17" s="57"/>
      <c r="R17" s="348"/>
      <c r="S17" s="57"/>
      <c r="T17" s="70"/>
      <c r="U17" s="70"/>
      <c r="V17" s="70"/>
      <c r="W17" s="70"/>
    </row>
    <row r="18" spans="1:23" s="2" customFormat="1" ht="12.75" customHeight="1" hidden="1">
      <c r="A18" s="124"/>
      <c r="B18" s="535" t="s">
        <v>309</v>
      </c>
      <c r="C18" s="429"/>
      <c r="D18" s="406"/>
      <c r="E18" s="405">
        <v>30000</v>
      </c>
      <c r="F18" s="405">
        <v>30000</v>
      </c>
      <c r="G18" s="406">
        <v>50000</v>
      </c>
      <c r="H18" s="406"/>
      <c r="I18" s="406"/>
      <c r="J18" s="602"/>
      <c r="K18" s="4"/>
      <c r="L18" s="53"/>
      <c r="M18" s="65"/>
      <c r="N18" s="65"/>
      <c r="O18" s="69"/>
      <c r="P18" s="357"/>
      <c r="Q18" s="57"/>
      <c r="R18" s="348"/>
      <c r="S18" s="57"/>
      <c r="T18" s="70"/>
      <c r="U18" s="70"/>
      <c r="V18" s="70"/>
      <c r="W18" s="70"/>
    </row>
    <row r="19" spans="1:23" s="2" customFormat="1" ht="12.75" customHeight="1" hidden="1">
      <c r="A19" s="124"/>
      <c r="B19" s="535" t="s">
        <v>337</v>
      </c>
      <c r="C19" s="429"/>
      <c r="D19" s="406"/>
      <c r="E19" s="405"/>
      <c r="F19" s="405"/>
      <c r="G19" s="406">
        <v>50000</v>
      </c>
      <c r="H19" s="406">
        <v>8815</v>
      </c>
      <c r="I19" s="406">
        <v>8815</v>
      </c>
      <c r="J19" s="602"/>
      <c r="K19" s="4"/>
      <c r="L19" s="53"/>
      <c r="M19" s="65"/>
      <c r="N19" s="65"/>
      <c r="O19" s="69"/>
      <c r="P19" s="357"/>
      <c r="Q19" s="57">
        <f>J19</f>
        <v>0</v>
      </c>
      <c r="R19" s="348"/>
      <c r="S19" s="57"/>
      <c r="T19" s="70"/>
      <c r="U19" s="70"/>
      <c r="V19" s="70"/>
      <c r="W19" s="70"/>
    </row>
    <row r="20" spans="1:23" s="2" customFormat="1" ht="12.75" customHeight="1">
      <c r="A20" s="124">
        <v>1902</v>
      </c>
      <c r="B20" s="518" t="s">
        <v>139</v>
      </c>
      <c r="C20" s="427">
        <v>100000</v>
      </c>
      <c r="D20" s="398">
        <v>2815</v>
      </c>
      <c r="E20" s="404">
        <f>C20</f>
        <v>100000</v>
      </c>
      <c r="F20" s="404">
        <v>36664</v>
      </c>
      <c r="G20" s="398">
        <v>50000</v>
      </c>
      <c r="H20" s="398">
        <v>21502</v>
      </c>
      <c r="I20" s="398">
        <v>23173</v>
      </c>
      <c r="J20" s="602">
        <v>50000</v>
      </c>
      <c r="K20" s="4"/>
      <c r="L20" s="53"/>
      <c r="M20" s="65"/>
      <c r="N20" s="65"/>
      <c r="O20" s="69"/>
      <c r="P20" s="357"/>
      <c r="Q20" s="57">
        <f>J20</f>
        <v>50000</v>
      </c>
      <c r="R20" s="348"/>
      <c r="S20" s="57"/>
      <c r="T20" s="70"/>
      <c r="U20" s="70"/>
      <c r="V20" s="70"/>
      <c r="W20" s="70"/>
    </row>
    <row r="21" spans="1:23" s="2" customFormat="1" ht="12.75" customHeight="1">
      <c r="A21" s="124">
        <v>1306</v>
      </c>
      <c r="B21" s="518" t="s">
        <v>69</v>
      </c>
      <c r="C21" s="430">
        <v>30000</v>
      </c>
      <c r="D21" s="398">
        <v>40346</v>
      </c>
      <c r="E21" s="404">
        <f>C21</f>
        <v>30000</v>
      </c>
      <c r="F21" s="404">
        <v>45600</v>
      </c>
      <c r="G21" s="398">
        <v>42000</v>
      </c>
      <c r="H21" s="398"/>
      <c r="I21" s="398"/>
      <c r="J21" s="602">
        <v>50000</v>
      </c>
      <c r="K21" s="4"/>
      <c r="L21" s="53"/>
      <c r="M21" s="65"/>
      <c r="N21" s="65"/>
      <c r="O21" s="69"/>
      <c r="P21" s="357"/>
      <c r="Q21" s="57">
        <f>J21</f>
        <v>50000</v>
      </c>
      <c r="R21" s="348"/>
      <c r="S21" s="57"/>
      <c r="T21" s="70"/>
      <c r="U21" s="70"/>
      <c r="V21" s="70"/>
      <c r="W21" s="70"/>
    </row>
    <row r="22" spans="1:23" s="2" customFormat="1" ht="12.75" customHeight="1" hidden="1">
      <c r="A22" s="124">
        <v>1317</v>
      </c>
      <c r="B22" s="518" t="s">
        <v>176</v>
      </c>
      <c r="C22" s="430"/>
      <c r="D22" s="398">
        <v>37000</v>
      </c>
      <c r="E22" s="404"/>
      <c r="F22" s="404"/>
      <c r="G22" s="398"/>
      <c r="H22" s="398"/>
      <c r="I22" s="398"/>
      <c r="J22" s="602"/>
      <c r="K22" s="4"/>
      <c r="L22" s="53"/>
      <c r="M22" s="65"/>
      <c r="N22" s="65"/>
      <c r="O22" s="69"/>
      <c r="P22" s="357"/>
      <c r="Q22" s="57"/>
      <c r="R22" s="348"/>
      <c r="S22" s="57"/>
      <c r="T22" s="70"/>
      <c r="U22" s="70"/>
      <c r="V22" s="70"/>
      <c r="W22" s="70"/>
    </row>
    <row r="23" spans="1:23" s="2" customFormat="1" ht="12.75" customHeight="1">
      <c r="A23" s="124">
        <v>1313</v>
      </c>
      <c r="B23" s="518" t="s">
        <v>24</v>
      </c>
      <c r="C23" s="430">
        <v>40000</v>
      </c>
      <c r="D23" s="398">
        <v>37752</v>
      </c>
      <c r="E23" s="404">
        <f>C23</f>
        <v>40000</v>
      </c>
      <c r="F23" s="404">
        <v>33632</v>
      </c>
      <c r="G23" s="398">
        <v>60000</v>
      </c>
      <c r="H23" s="398">
        <v>11920</v>
      </c>
      <c r="I23" s="398">
        <v>31920</v>
      </c>
      <c r="J23" s="602">
        <f>60000-30000</f>
        <v>30000</v>
      </c>
      <c r="K23" s="4"/>
      <c r="L23" s="53"/>
      <c r="M23" s="65"/>
      <c r="N23" s="65"/>
      <c r="O23" s="69"/>
      <c r="P23" s="357"/>
      <c r="Q23" s="57">
        <f aca="true" t="shared" si="0" ref="Q23:Q29">J23</f>
        <v>30000</v>
      </c>
      <c r="R23" s="348"/>
      <c r="S23" s="57"/>
      <c r="T23" s="70"/>
      <c r="U23" s="70"/>
      <c r="V23" s="70"/>
      <c r="W23" s="70"/>
    </row>
    <row r="24" spans="1:23" s="2" customFormat="1" ht="12.75" customHeight="1">
      <c r="A24" s="124">
        <v>1318</v>
      </c>
      <c r="B24" s="518" t="s">
        <v>25</v>
      </c>
      <c r="C24" s="430">
        <v>40000</v>
      </c>
      <c r="D24" s="398">
        <v>28894</v>
      </c>
      <c r="E24" s="404">
        <v>15265</v>
      </c>
      <c r="F24" s="404">
        <v>15801</v>
      </c>
      <c r="G24" s="398">
        <v>40000</v>
      </c>
      <c r="H24" s="398">
        <v>19699</v>
      </c>
      <c r="I24" s="398">
        <v>19699</v>
      </c>
      <c r="J24" s="602">
        <v>19000</v>
      </c>
      <c r="K24" s="4"/>
      <c r="L24" s="53"/>
      <c r="M24" s="65"/>
      <c r="N24" s="65"/>
      <c r="O24" s="69"/>
      <c r="P24" s="357"/>
      <c r="Q24" s="57">
        <f t="shared" si="0"/>
        <v>19000</v>
      </c>
      <c r="R24" s="348"/>
      <c r="S24" s="57">
        <v>9000</v>
      </c>
      <c r="T24" s="70"/>
      <c r="U24" s="70"/>
      <c r="V24" s="70"/>
      <c r="W24" s="70"/>
    </row>
    <row r="25" spans="1:23" s="2" customFormat="1" ht="12.75" customHeight="1">
      <c r="A25" s="124">
        <v>1311</v>
      </c>
      <c r="B25" s="518" t="s">
        <v>26</v>
      </c>
      <c r="C25" s="430">
        <v>120000</v>
      </c>
      <c r="D25" s="398">
        <v>135729</v>
      </c>
      <c r="E25" s="404">
        <v>127328</v>
      </c>
      <c r="F25" s="404">
        <v>117696</v>
      </c>
      <c r="G25" s="398">
        <v>130000</v>
      </c>
      <c r="H25" s="398"/>
      <c r="I25" s="398"/>
      <c r="J25" s="602">
        <v>130000</v>
      </c>
      <c r="K25" s="4"/>
      <c r="L25" s="53"/>
      <c r="M25" s="65"/>
      <c r="N25" s="65"/>
      <c r="O25" s="69"/>
      <c r="P25" s="357"/>
      <c r="Q25" s="57">
        <f t="shared" si="0"/>
        <v>130000</v>
      </c>
      <c r="R25" s="348"/>
      <c r="S25" s="57"/>
      <c r="T25" s="70"/>
      <c r="U25" s="70"/>
      <c r="V25" s="70"/>
      <c r="W25" s="70"/>
    </row>
    <row r="26" spans="1:23" s="2" customFormat="1" ht="12.75" customHeight="1" hidden="1">
      <c r="A26" s="124">
        <v>1500</v>
      </c>
      <c r="B26" s="518" t="s">
        <v>20</v>
      </c>
      <c r="C26" s="430">
        <v>402930</v>
      </c>
      <c r="D26" s="398">
        <v>452092</v>
      </c>
      <c r="E26" s="404">
        <v>510154</v>
      </c>
      <c r="F26" s="404">
        <v>628230</v>
      </c>
      <c r="G26" s="398"/>
      <c r="H26" s="398">
        <v>40635</v>
      </c>
      <c r="I26" s="398">
        <v>40635</v>
      </c>
      <c r="J26" s="602">
        <v>0</v>
      </c>
      <c r="K26" s="4"/>
      <c r="L26" s="53"/>
      <c r="M26" s="65"/>
      <c r="N26" s="65"/>
      <c r="O26" s="69"/>
      <c r="P26" s="357"/>
      <c r="Q26" s="57">
        <f t="shared" si="0"/>
        <v>0</v>
      </c>
      <c r="R26" s="348"/>
      <c r="S26" s="57"/>
      <c r="T26" s="70"/>
      <c r="U26" s="70"/>
      <c r="V26" s="70"/>
      <c r="W26" s="70"/>
    </row>
    <row r="27" spans="1:23" s="2" customFormat="1" ht="12.75" customHeight="1">
      <c r="A27" s="124">
        <v>1323</v>
      </c>
      <c r="B27" s="518" t="s">
        <v>40</v>
      </c>
      <c r="C27" s="430">
        <v>50000</v>
      </c>
      <c r="D27" s="398">
        <v>26825</v>
      </c>
      <c r="E27" s="404">
        <v>15397</v>
      </c>
      <c r="F27" s="404">
        <v>15397</v>
      </c>
      <c r="G27" s="398">
        <v>30000</v>
      </c>
      <c r="H27" s="398">
        <v>16672</v>
      </c>
      <c r="I27" s="398">
        <v>16762</v>
      </c>
      <c r="J27" s="602">
        <v>30000</v>
      </c>
      <c r="K27" s="4"/>
      <c r="L27" s="53"/>
      <c r="M27" s="65"/>
      <c r="N27" s="65"/>
      <c r="O27" s="69"/>
      <c r="P27" s="357"/>
      <c r="Q27" s="57">
        <f t="shared" si="0"/>
        <v>30000</v>
      </c>
      <c r="R27" s="348"/>
      <c r="S27" s="57">
        <v>12000</v>
      </c>
      <c r="T27" s="70"/>
      <c r="U27" s="70"/>
      <c r="V27" s="70"/>
      <c r="W27" s="70"/>
    </row>
    <row r="28" spans="1:23" s="2" customFormat="1" ht="12.75" customHeight="1">
      <c r="A28" s="124">
        <v>1324</v>
      </c>
      <c r="B28" s="518" t="s">
        <v>41</v>
      </c>
      <c r="C28" s="430">
        <v>30000</v>
      </c>
      <c r="D28" s="398">
        <v>64487</v>
      </c>
      <c r="E28" s="404">
        <f>C28</f>
        <v>30000</v>
      </c>
      <c r="F28" s="404">
        <v>42642</v>
      </c>
      <c r="G28" s="398">
        <v>60000</v>
      </c>
      <c r="H28" s="398">
        <v>29980</v>
      </c>
      <c r="I28" s="398">
        <v>29980</v>
      </c>
      <c r="J28" s="602">
        <v>70000</v>
      </c>
      <c r="K28" s="4"/>
      <c r="L28" s="53"/>
      <c r="M28" s="65"/>
      <c r="N28" s="65"/>
      <c r="O28" s="69"/>
      <c r="P28" s="357"/>
      <c r="Q28" s="57">
        <f t="shared" si="0"/>
        <v>70000</v>
      </c>
      <c r="R28" s="348"/>
      <c r="S28" s="57">
        <v>50000</v>
      </c>
      <c r="T28" s="70"/>
      <c r="U28" s="70"/>
      <c r="V28" s="70"/>
      <c r="W28" s="70"/>
    </row>
    <row r="29" spans="1:23" s="2" customFormat="1" ht="12.75" customHeight="1">
      <c r="A29" s="124">
        <v>1325</v>
      </c>
      <c r="B29" s="518" t="s">
        <v>177</v>
      </c>
      <c r="C29" s="430">
        <v>80000</v>
      </c>
      <c r="D29" s="398">
        <v>291326</v>
      </c>
      <c r="E29" s="404">
        <v>316888</v>
      </c>
      <c r="F29" s="404">
        <v>316888</v>
      </c>
      <c r="G29" s="398">
        <v>330000</v>
      </c>
      <c r="H29" s="398">
        <v>309354</v>
      </c>
      <c r="I29" s="398">
        <v>316554</v>
      </c>
      <c r="J29" s="602">
        <f>355000-40000-50000</f>
        <v>265000</v>
      </c>
      <c r="K29" s="4"/>
      <c r="L29" s="53"/>
      <c r="M29" s="65"/>
      <c r="N29" s="65"/>
      <c r="O29" s="69"/>
      <c r="P29" s="357"/>
      <c r="Q29" s="57">
        <f t="shared" si="0"/>
        <v>265000</v>
      </c>
      <c r="R29" s="348"/>
      <c r="S29" s="57">
        <v>75000</v>
      </c>
      <c r="T29" s="70"/>
      <c r="U29" s="70"/>
      <c r="V29" s="70"/>
      <c r="W29" s="70"/>
    </row>
    <row r="30" spans="1:23" s="2" customFormat="1" ht="12.75" customHeight="1" hidden="1">
      <c r="A30" s="124"/>
      <c r="B30" s="535" t="s">
        <v>178</v>
      </c>
      <c r="C30" s="576"/>
      <c r="D30" s="577"/>
      <c r="E30" s="577">
        <v>50000</v>
      </c>
      <c r="F30" s="577">
        <v>50000</v>
      </c>
      <c r="G30" s="577"/>
      <c r="H30" s="577"/>
      <c r="I30" s="406"/>
      <c r="J30" s="602"/>
      <c r="K30" s="4"/>
      <c r="L30" s="53"/>
      <c r="M30" s="65"/>
      <c r="N30" s="65"/>
      <c r="O30" s="69"/>
      <c r="P30" s="357"/>
      <c r="Q30" s="57"/>
      <c r="R30" s="348"/>
      <c r="S30" s="57"/>
      <c r="T30" s="70"/>
      <c r="U30" s="70"/>
      <c r="V30" s="70"/>
      <c r="W30" s="70"/>
    </row>
    <row r="31" spans="1:23" s="2" customFormat="1" ht="12.75" customHeight="1">
      <c r="A31" s="124">
        <v>1312</v>
      </c>
      <c r="B31" s="592" t="s">
        <v>179</v>
      </c>
      <c r="C31" s="576">
        <v>370000</v>
      </c>
      <c r="D31" s="577">
        <v>246390</v>
      </c>
      <c r="E31" s="593">
        <f>C31</f>
        <v>370000</v>
      </c>
      <c r="F31" s="593">
        <v>309048</v>
      </c>
      <c r="G31" s="577">
        <v>370000</v>
      </c>
      <c r="H31" s="577">
        <v>52</v>
      </c>
      <c r="I31" s="398">
        <v>2551</v>
      </c>
      <c r="J31" s="602">
        <v>270000</v>
      </c>
      <c r="K31" s="4"/>
      <c r="L31" s="53"/>
      <c r="M31" s="65"/>
      <c r="N31" s="65"/>
      <c r="O31" s="69"/>
      <c r="P31" s="357"/>
      <c r="Q31" s="57">
        <f aca="true" t="shared" si="1" ref="Q31:Q38">J31</f>
        <v>270000</v>
      </c>
      <c r="R31" s="348"/>
      <c r="S31" s="57"/>
      <c r="T31" s="70"/>
      <c r="U31" s="70"/>
      <c r="V31" s="70"/>
      <c r="W31" s="70"/>
    </row>
    <row r="32" spans="1:23" s="2" customFormat="1" ht="12.75" customHeight="1" hidden="1">
      <c r="A32" s="124"/>
      <c r="B32" s="644" t="s">
        <v>341</v>
      </c>
      <c r="C32" s="576"/>
      <c r="D32" s="577"/>
      <c r="E32" s="593"/>
      <c r="F32" s="593"/>
      <c r="G32" s="577"/>
      <c r="H32" s="577"/>
      <c r="I32" s="398"/>
      <c r="J32" s="602">
        <v>0</v>
      </c>
      <c r="K32" s="4"/>
      <c r="L32" s="53"/>
      <c r="M32" s="65"/>
      <c r="N32" s="65"/>
      <c r="O32" s="69"/>
      <c r="P32" s="357"/>
      <c r="Q32" s="57">
        <f t="shared" si="1"/>
        <v>0</v>
      </c>
      <c r="R32" s="348"/>
      <c r="S32" s="57" t="s">
        <v>356</v>
      </c>
      <c r="T32" s="70"/>
      <c r="U32" s="70"/>
      <c r="V32" s="70"/>
      <c r="W32" s="70"/>
    </row>
    <row r="33" spans="1:23" s="2" customFormat="1" ht="12.75" customHeight="1" hidden="1">
      <c r="A33" s="124"/>
      <c r="B33" s="592" t="s">
        <v>245</v>
      </c>
      <c r="C33" s="576"/>
      <c r="D33" s="577"/>
      <c r="E33" s="593"/>
      <c r="F33" s="593"/>
      <c r="G33" s="577"/>
      <c r="H33" s="577"/>
      <c r="I33" s="398"/>
      <c r="J33" s="602"/>
      <c r="K33" s="4"/>
      <c r="L33" s="53"/>
      <c r="M33" s="65"/>
      <c r="N33" s="65"/>
      <c r="O33" s="69"/>
      <c r="P33" s="357"/>
      <c r="Q33" s="57">
        <f t="shared" si="1"/>
        <v>0</v>
      </c>
      <c r="R33" s="348"/>
      <c r="S33" s="57"/>
      <c r="T33" s="70"/>
      <c r="U33" s="70"/>
      <c r="V33" s="70"/>
      <c r="W33" s="70"/>
    </row>
    <row r="34" spans="1:23" s="2" customFormat="1" ht="12.75" customHeight="1">
      <c r="A34" s="124">
        <v>1328</v>
      </c>
      <c r="B34" s="592" t="s">
        <v>44</v>
      </c>
      <c r="C34" s="576">
        <v>20000</v>
      </c>
      <c r="D34" s="577">
        <v>36664</v>
      </c>
      <c r="E34" s="593">
        <v>30050</v>
      </c>
      <c r="F34" s="593">
        <v>30050</v>
      </c>
      <c r="G34" s="577">
        <v>40000</v>
      </c>
      <c r="H34" s="577">
        <v>12</v>
      </c>
      <c r="I34" s="398">
        <v>7114</v>
      </c>
      <c r="J34" s="602">
        <v>38000</v>
      </c>
      <c r="K34" s="4"/>
      <c r="L34" s="53"/>
      <c r="M34" s="65"/>
      <c r="N34" s="65"/>
      <c r="O34" s="69"/>
      <c r="P34" s="357"/>
      <c r="Q34" s="57">
        <f t="shared" si="1"/>
        <v>38000</v>
      </c>
      <c r="R34" s="348"/>
      <c r="S34" s="57">
        <v>24000</v>
      </c>
      <c r="T34" s="70"/>
      <c r="U34" s="70"/>
      <c r="V34" s="70"/>
      <c r="W34" s="70"/>
    </row>
    <row r="35" spans="1:23" s="2" customFormat="1" ht="12.75" customHeight="1">
      <c r="A35" s="124">
        <v>1316</v>
      </c>
      <c r="B35" s="592" t="s">
        <v>220</v>
      </c>
      <c r="C35" s="576">
        <v>60000</v>
      </c>
      <c r="D35" s="577">
        <v>148949</v>
      </c>
      <c r="E35" s="593">
        <v>38895</v>
      </c>
      <c r="F35" s="593">
        <v>38895</v>
      </c>
      <c r="G35" s="577">
        <v>50000</v>
      </c>
      <c r="H35" s="577">
        <v>42335</v>
      </c>
      <c r="I35" s="398">
        <v>42335</v>
      </c>
      <c r="J35" s="602">
        <v>60000</v>
      </c>
      <c r="K35" s="4"/>
      <c r="L35" s="53"/>
      <c r="M35" s="65"/>
      <c r="N35" s="65"/>
      <c r="O35" s="69"/>
      <c r="P35" s="357"/>
      <c r="Q35" s="57">
        <f t="shared" si="1"/>
        <v>60000</v>
      </c>
      <c r="R35" s="348"/>
      <c r="S35" s="57">
        <v>30000</v>
      </c>
      <c r="T35" s="70"/>
      <c r="U35" s="70"/>
      <c r="V35" s="70"/>
      <c r="W35" s="70"/>
    </row>
    <row r="36" spans="1:23" s="2" customFormat="1" ht="12.75" customHeight="1">
      <c r="A36" s="124">
        <v>1208</v>
      </c>
      <c r="B36" s="592" t="s">
        <v>180</v>
      </c>
      <c r="C36" s="576">
        <v>50000</v>
      </c>
      <c r="D36" s="577">
        <v>145055</v>
      </c>
      <c r="E36" s="593">
        <f>C36</f>
        <v>50000</v>
      </c>
      <c r="F36" s="593">
        <v>184574</v>
      </c>
      <c r="G36" s="577">
        <v>123500</v>
      </c>
      <c r="H36" s="577">
        <v>112217</v>
      </c>
      <c r="I36" s="398">
        <v>112217</v>
      </c>
      <c r="J36" s="602">
        <v>155000</v>
      </c>
      <c r="K36" s="4"/>
      <c r="L36" s="53"/>
      <c r="M36" s="65"/>
      <c r="N36" s="65"/>
      <c r="O36" s="69"/>
      <c r="P36" s="357"/>
      <c r="Q36" s="57">
        <f t="shared" si="1"/>
        <v>155000</v>
      </c>
      <c r="R36" s="348"/>
      <c r="S36" s="57">
        <v>105000</v>
      </c>
      <c r="T36" s="70"/>
      <c r="U36" s="70"/>
      <c r="V36" s="70"/>
      <c r="W36" s="70"/>
    </row>
    <row r="37" spans="1:23" s="2" customFormat="1" ht="12.75" customHeight="1">
      <c r="A37" s="124">
        <v>1322</v>
      </c>
      <c r="B37" s="592" t="s">
        <v>221</v>
      </c>
      <c r="C37" s="576"/>
      <c r="D37" s="577"/>
      <c r="E37" s="593"/>
      <c r="F37" s="593"/>
      <c r="G37" s="577">
        <v>52000</v>
      </c>
      <c r="H37" s="577">
        <v>51462</v>
      </c>
      <c r="I37" s="398">
        <v>51462</v>
      </c>
      <c r="J37" s="602">
        <v>96000</v>
      </c>
      <c r="K37" s="4"/>
      <c r="L37" s="53"/>
      <c r="M37" s="65"/>
      <c r="N37" s="65"/>
      <c r="O37" s="69"/>
      <c r="P37" s="357"/>
      <c r="Q37" s="57">
        <f t="shared" si="1"/>
        <v>96000</v>
      </c>
      <c r="R37" s="348"/>
      <c r="S37" s="57">
        <v>66000</v>
      </c>
      <c r="T37" s="70"/>
      <c r="U37" s="70"/>
      <c r="V37" s="70"/>
      <c r="W37" s="70"/>
    </row>
    <row r="38" spans="1:23" s="2" customFormat="1" ht="12.75" customHeight="1">
      <c r="A38" s="124">
        <v>1321</v>
      </c>
      <c r="B38" s="592" t="s">
        <v>181</v>
      </c>
      <c r="C38" s="576">
        <v>15000</v>
      </c>
      <c r="D38" s="577">
        <v>15013</v>
      </c>
      <c r="E38" s="593">
        <f>C38</f>
        <v>15000</v>
      </c>
      <c r="F38" s="593">
        <v>15211</v>
      </c>
      <c r="G38" s="577">
        <v>15000</v>
      </c>
      <c r="H38" s="577">
        <v>0</v>
      </c>
      <c r="I38" s="398"/>
      <c r="J38" s="602">
        <v>15000</v>
      </c>
      <c r="K38" s="4"/>
      <c r="L38" s="53"/>
      <c r="M38" s="65"/>
      <c r="N38" s="65"/>
      <c r="O38" s="69"/>
      <c r="P38" s="357"/>
      <c r="Q38" s="57">
        <f t="shared" si="1"/>
        <v>15000</v>
      </c>
      <c r="R38" s="348"/>
      <c r="S38" s="57"/>
      <c r="T38" s="70"/>
      <c r="U38" s="70"/>
      <c r="V38" s="70"/>
      <c r="W38" s="70"/>
    </row>
    <row r="39" spans="1:23" s="2" customFormat="1" ht="12.75" customHeight="1" hidden="1">
      <c r="A39" s="124">
        <v>1304</v>
      </c>
      <c r="B39" s="592" t="s">
        <v>45</v>
      </c>
      <c r="C39" s="576">
        <v>20000</v>
      </c>
      <c r="D39" s="577">
        <v>9000</v>
      </c>
      <c r="E39" s="593">
        <f>C39</f>
        <v>20000</v>
      </c>
      <c r="F39" s="593">
        <v>20602</v>
      </c>
      <c r="G39" s="577"/>
      <c r="H39" s="577">
        <v>0</v>
      </c>
      <c r="I39" s="398"/>
      <c r="J39" s="602"/>
      <c r="K39" s="4"/>
      <c r="L39" s="53"/>
      <c r="M39" s="65"/>
      <c r="N39" s="65"/>
      <c r="O39" s="69"/>
      <c r="P39" s="357"/>
      <c r="Q39" s="57"/>
      <c r="R39" s="348"/>
      <c r="S39" s="57"/>
      <c r="T39" s="70"/>
      <c r="U39" s="70"/>
      <c r="V39" s="70"/>
      <c r="W39" s="70"/>
    </row>
    <row r="40" spans="1:23" s="2" customFormat="1" ht="12.75" customHeight="1">
      <c r="A40" s="124">
        <v>1320</v>
      </c>
      <c r="B40" s="592" t="s">
        <v>182</v>
      </c>
      <c r="C40" s="576">
        <v>50000</v>
      </c>
      <c r="D40" s="577">
        <v>5500</v>
      </c>
      <c r="E40" s="593">
        <v>54436</v>
      </c>
      <c r="F40" s="593">
        <v>54436</v>
      </c>
      <c r="G40" s="577">
        <v>80000</v>
      </c>
      <c r="H40" s="577">
        <v>1295</v>
      </c>
      <c r="I40" s="398">
        <v>9535</v>
      </c>
      <c r="J40" s="602">
        <f>80000-10000</f>
        <v>70000</v>
      </c>
      <c r="K40" s="4"/>
      <c r="L40" s="53"/>
      <c r="M40" s="65"/>
      <c r="N40" s="65"/>
      <c r="O40" s="69"/>
      <c r="P40" s="357"/>
      <c r="Q40" s="57">
        <f>J40</f>
        <v>70000</v>
      </c>
      <c r="R40" s="348"/>
      <c r="S40" s="57">
        <v>30000</v>
      </c>
      <c r="T40" s="70"/>
      <c r="U40" s="70"/>
      <c r="V40" s="70"/>
      <c r="W40" s="70"/>
    </row>
    <row r="41" spans="1:23" s="2" customFormat="1" ht="12.75" customHeight="1" hidden="1">
      <c r="A41" s="124"/>
      <c r="B41" s="592" t="s">
        <v>183</v>
      </c>
      <c r="C41" s="576"/>
      <c r="D41" s="577"/>
      <c r="E41" s="593">
        <v>10000</v>
      </c>
      <c r="F41" s="593">
        <v>10000</v>
      </c>
      <c r="G41" s="577"/>
      <c r="H41" s="577"/>
      <c r="I41" s="406"/>
      <c r="J41" s="602"/>
      <c r="K41" s="4"/>
      <c r="L41" s="53"/>
      <c r="M41" s="65"/>
      <c r="N41" s="65"/>
      <c r="O41" s="69"/>
      <c r="P41" s="357"/>
      <c r="Q41" s="57"/>
      <c r="R41" s="348"/>
      <c r="S41" s="57"/>
      <c r="T41" s="70"/>
      <c r="U41" s="70"/>
      <c r="V41" s="70"/>
      <c r="W41" s="70"/>
    </row>
    <row r="42" spans="1:23" s="2" customFormat="1" ht="12.75" customHeight="1">
      <c r="A42" s="124">
        <v>1305</v>
      </c>
      <c r="B42" s="592" t="s">
        <v>343</v>
      </c>
      <c r="C42" s="576">
        <v>20000</v>
      </c>
      <c r="D42" s="577">
        <v>19921</v>
      </c>
      <c r="E42" s="593">
        <f>C42</f>
        <v>20000</v>
      </c>
      <c r="F42" s="593">
        <v>12524</v>
      </c>
      <c r="G42" s="577">
        <v>20000</v>
      </c>
      <c r="H42" s="577">
        <v>7744</v>
      </c>
      <c r="I42" s="398">
        <v>8349</v>
      </c>
      <c r="J42" s="602">
        <v>10000</v>
      </c>
      <c r="K42" s="4"/>
      <c r="L42" s="53"/>
      <c r="M42" s="65"/>
      <c r="N42" s="65"/>
      <c r="O42" s="69"/>
      <c r="P42" s="357"/>
      <c r="Q42" s="57">
        <f>J42</f>
        <v>10000</v>
      </c>
      <c r="R42" s="348"/>
      <c r="S42" s="57"/>
      <c r="T42" s="70"/>
      <c r="U42" s="70"/>
      <c r="V42" s="70"/>
      <c r="W42" s="70"/>
    </row>
    <row r="43" spans="1:23" s="2" customFormat="1" ht="12.75" customHeight="1">
      <c r="A43" s="124">
        <v>1905</v>
      </c>
      <c r="B43" s="592" t="s">
        <v>186</v>
      </c>
      <c r="C43" s="576"/>
      <c r="D43" s="577"/>
      <c r="E43" s="593">
        <v>40000</v>
      </c>
      <c r="F43" s="593">
        <v>85118</v>
      </c>
      <c r="G43" s="577">
        <v>90000</v>
      </c>
      <c r="H43" s="577">
        <v>70</v>
      </c>
      <c r="I43" s="406">
        <v>6074</v>
      </c>
      <c r="J43" s="602">
        <v>80000</v>
      </c>
      <c r="K43" s="4"/>
      <c r="L43" s="53"/>
      <c r="M43" s="65"/>
      <c r="N43" s="65"/>
      <c r="O43" s="69"/>
      <c r="P43" s="357"/>
      <c r="Q43" s="57">
        <f>J43</f>
        <v>80000</v>
      </c>
      <c r="R43" s="348"/>
      <c r="S43" s="57"/>
      <c r="T43" s="70"/>
      <c r="U43" s="70"/>
      <c r="V43" s="70"/>
      <c r="W43" s="70"/>
    </row>
    <row r="44" spans="1:23" s="2" customFormat="1" ht="12.75" customHeight="1" hidden="1">
      <c r="A44" s="124"/>
      <c r="B44" s="592" t="s">
        <v>308</v>
      </c>
      <c r="C44" s="576"/>
      <c r="D44" s="577"/>
      <c r="E44" s="593">
        <v>15000</v>
      </c>
      <c r="F44" s="593">
        <v>15000</v>
      </c>
      <c r="G44" s="577"/>
      <c r="H44" s="577"/>
      <c r="I44" s="406"/>
      <c r="J44" s="602"/>
      <c r="K44" s="4"/>
      <c r="L44" s="53"/>
      <c r="M44" s="65"/>
      <c r="N44" s="65"/>
      <c r="O44" s="69"/>
      <c r="P44" s="357"/>
      <c r="Q44" s="57"/>
      <c r="R44" s="348"/>
      <c r="S44" s="57"/>
      <c r="T44" s="70"/>
      <c r="U44" s="70"/>
      <c r="V44" s="70"/>
      <c r="W44" s="70"/>
    </row>
    <row r="45" spans="1:23" s="2" customFormat="1" ht="12.75" customHeight="1">
      <c r="A45" s="124">
        <v>1308</v>
      </c>
      <c r="B45" s="592" t="s">
        <v>317</v>
      </c>
      <c r="C45" s="576"/>
      <c r="D45" s="577"/>
      <c r="E45" s="593"/>
      <c r="F45" s="593">
        <v>86701</v>
      </c>
      <c r="G45" s="577">
        <v>210000</v>
      </c>
      <c r="H45" s="577">
        <v>1984</v>
      </c>
      <c r="I45" s="406">
        <v>194070</v>
      </c>
      <c r="J45" s="602">
        <v>106000</v>
      </c>
      <c r="K45" s="4"/>
      <c r="L45" s="53"/>
      <c r="M45" s="65"/>
      <c r="N45" s="65"/>
      <c r="O45" s="69"/>
      <c r="P45" s="357"/>
      <c r="Q45" s="57">
        <f aca="true" t="shared" si="2" ref="Q45:Q50">J45</f>
        <v>106000</v>
      </c>
      <c r="R45" s="348"/>
      <c r="S45" s="57">
        <v>6000</v>
      </c>
      <c r="T45" s="70"/>
      <c r="U45" s="70"/>
      <c r="V45" s="70"/>
      <c r="W45" s="70"/>
    </row>
    <row r="46" spans="1:23" s="2" customFormat="1" ht="12.75" customHeight="1" hidden="1">
      <c r="A46" s="124">
        <v>1331</v>
      </c>
      <c r="B46" s="592" t="s">
        <v>254</v>
      </c>
      <c r="C46" s="576"/>
      <c r="D46" s="577"/>
      <c r="E46" s="593"/>
      <c r="F46" s="593"/>
      <c r="G46" s="577">
        <v>90000</v>
      </c>
      <c r="H46" s="577"/>
      <c r="I46" s="406">
        <v>1305</v>
      </c>
      <c r="J46" s="602"/>
      <c r="K46" s="4"/>
      <c r="L46" s="53"/>
      <c r="M46" s="65"/>
      <c r="N46" s="65"/>
      <c r="O46" s="69"/>
      <c r="P46" s="357"/>
      <c r="Q46" s="57">
        <f t="shared" si="2"/>
        <v>0</v>
      </c>
      <c r="R46" s="348"/>
      <c r="S46" s="57"/>
      <c r="T46" s="70"/>
      <c r="U46" s="70"/>
      <c r="V46" s="70"/>
      <c r="W46" s="70"/>
    </row>
    <row r="47" spans="1:23" s="2" customFormat="1" ht="12.75" customHeight="1">
      <c r="A47" s="124"/>
      <c r="B47" s="644" t="s">
        <v>342</v>
      </c>
      <c r="C47" s="576"/>
      <c r="D47" s="577"/>
      <c r="E47" s="593"/>
      <c r="F47" s="593"/>
      <c r="G47" s="577"/>
      <c r="H47" s="577"/>
      <c r="I47" s="406"/>
      <c r="J47" s="602">
        <v>20000</v>
      </c>
      <c r="K47" s="4"/>
      <c r="L47" s="53"/>
      <c r="M47" s="65"/>
      <c r="N47" s="65"/>
      <c r="O47" s="69"/>
      <c r="P47" s="357"/>
      <c r="Q47" s="57">
        <f t="shared" si="2"/>
        <v>20000</v>
      </c>
      <c r="R47" s="348"/>
      <c r="S47" s="57"/>
      <c r="T47" s="70"/>
      <c r="U47" s="70"/>
      <c r="V47" s="70"/>
      <c r="W47" s="70"/>
    </row>
    <row r="48" spans="1:23" s="2" customFormat="1" ht="12.75" customHeight="1">
      <c r="A48" s="124"/>
      <c r="B48" s="644" t="s">
        <v>344</v>
      </c>
      <c r="C48" s="576"/>
      <c r="D48" s="577"/>
      <c r="E48" s="593"/>
      <c r="F48" s="593"/>
      <c r="G48" s="577"/>
      <c r="H48" s="577"/>
      <c r="I48" s="406"/>
      <c r="J48" s="602">
        <v>10000</v>
      </c>
      <c r="K48" s="4"/>
      <c r="L48" s="53"/>
      <c r="M48" s="65"/>
      <c r="N48" s="65"/>
      <c r="O48" s="69"/>
      <c r="P48" s="357"/>
      <c r="Q48" s="57">
        <f t="shared" si="2"/>
        <v>10000</v>
      </c>
      <c r="R48" s="348"/>
      <c r="S48" s="57"/>
      <c r="T48" s="70"/>
      <c r="U48" s="70"/>
      <c r="V48" s="70"/>
      <c r="W48" s="70"/>
    </row>
    <row r="49" spans="1:23" s="2" customFormat="1" ht="12.75" customHeight="1" hidden="1">
      <c r="A49" s="124"/>
      <c r="B49" s="689" t="s">
        <v>225</v>
      </c>
      <c r="C49" s="576"/>
      <c r="D49" s="577"/>
      <c r="E49" s="593"/>
      <c r="F49" s="593"/>
      <c r="G49" s="577"/>
      <c r="H49" s="577"/>
      <c r="I49" s="398"/>
      <c r="J49" s="602"/>
      <c r="K49" s="4"/>
      <c r="L49" s="53"/>
      <c r="M49" s="65"/>
      <c r="N49" s="65"/>
      <c r="O49" s="69"/>
      <c r="P49" s="357"/>
      <c r="Q49" s="57">
        <f t="shared" si="2"/>
        <v>0</v>
      </c>
      <c r="R49" s="57"/>
      <c r="S49" s="57"/>
      <c r="T49" s="70"/>
      <c r="U49" s="70"/>
      <c r="V49" s="70"/>
      <c r="W49" s="70"/>
    </row>
    <row r="50" spans="1:23" s="2" customFormat="1" ht="12.75" customHeight="1" hidden="1">
      <c r="A50" s="124"/>
      <c r="B50" s="689" t="s">
        <v>226</v>
      </c>
      <c r="C50" s="576"/>
      <c r="D50" s="577"/>
      <c r="E50" s="593"/>
      <c r="F50" s="593"/>
      <c r="G50" s="577"/>
      <c r="H50" s="577"/>
      <c r="I50" s="398"/>
      <c r="J50" s="602"/>
      <c r="K50" s="4"/>
      <c r="L50" s="53"/>
      <c r="M50" s="65"/>
      <c r="N50" s="65"/>
      <c r="O50" s="69"/>
      <c r="P50" s="357"/>
      <c r="Q50" s="57">
        <f t="shared" si="2"/>
        <v>0</v>
      </c>
      <c r="R50" s="57"/>
      <c r="S50" s="57"/>
      <c r="T50" s="70"/>
      <c r="U50" s="70"/>
      <c r="V50" s="70"/>
      <c r="W50" s="70"/>
    </row>
    <row r="51" spans="1:23" s="2" customFormat="1" ht="12.75" customHeight="1" hidden="1">
      <c r="A51" s="124"/>
      <c r="B51" s="689" t="s">
        <v>184</v>
      </c>
      <c r="C51" s="576"/>
      <c r="D51" s="577">
        <v>57000</v>
      </c>
      <c r="E51" s="593"/>
      <c r="F51" s="593"/>
      <c r="G51" s="577"/>
      <c r="H51" s="577"/>
      <c r="I51" s="398"/>
      <c r="J51" s="602">
        <v>0</v>
      </c>
      <c r="K51" s="4"/>
      <c r="L51" s="53"/>
      <c r="M51" s="65"/>
      <c r="N51" s="65"/>
      <c r="O51" s="69"/>
      <c r="P51" s="357"/>
      <c r="Q51" s="57"/>
      <c r="R51" s="57"/>
      <c r="S51" s="57"/>
      <c r="T51" s="70"/>
      <c r="U51" s="70"/>
      <c r="V51" s="70"/>
      <c r="W51" s="70"/>
    </row>
    <row r="52" spans="1:23" s="2" customFormat="1" ht="12.75" customHeight="1" hidden="1">
      <c r="A52" s="124"/>
      <c r="B52" s="689" t="s">
        <v>185</v>
      </c>
      <c r="C52" s="430"/>
      <c r="D52" s="398">
        <v>393700</v>
      </c>
      <c r="E52" s="404"/>
      <c r="F52" s="397">
        <v>130800</v>
      </c>
      <c r="G52" s="398"/>
      <c r="H52" s="398"/>
      <c r="I52" s="398"/>
      <c r="J52" s="602"/>
      <c r="K52" s="4"/>
      <c r="L52" s="53"/>
      <c r="M52" s="65"/>
      <c r="N52" s="65"/>
      <c r="O52" s="69"/>
      <c r="P52" s="357"/>
      <c r="Q52" s="57"/>
      <c r="R52" s="57"/>
      <c r="S52" s="57"/>
      <c r="T52" s="70"/>
      <c r="U52" s="70"/>
      <c r="V52" s="70"/>
      <c r="W52" s="70"/>
    </row>
    <row r="53" spans="1:23" s="2" customFormat="1" ht="12.75" customHeight="1" hidden="1">
      <c r="A53" s="124"/>
      <c r="B53" s="689" t="s">
        <v>318</v>
      </c>
      <c r="C53" s="430">
        <v>30262</v>
      </c>
      <c r="D53" s="398"/>
      <c r="E53" s="404">
        <f>C53</f>
        <v>30262</v>
      </c>
      <c r="F53" s="404">
        <v>13469</v>
      </c>
      <c r="G53" s="398">
        <v>37644</v>
      </c>
      <c r="H53" s="398"/>
      <c r="I53" s="406"/>
      <c r="J53" s="602"/>
      <c r="K53" s="4"/>
      <c r="L53" s="53"/>
      <c r="M53" s="65"/>
      <c r="N53" s="65"/>
      <c r="O53" s="69"/>
      <c r="P53" s="357"/>
      <c r="Q53" s="57"/>
      <c r="R53" s="57"/>
      <c r="S53" s="57"/>
      <c r="T53" s="70"/>
      <c r="U53" s="70"/>
      <c r="V53" s="70"/>
      <c r="W53" s="70"/>
    </row>
    <row r="54" spans="1:23" s="2" customFormat="1" ht="12.75" customHeight="1" hidden="1">
      <c r="A54" s="124"/>
      <c r="B54" s="689" t="s">
        <v>189</v>
      </c>
      <c r="C54" s="431">
        <v>162594</v>
      </c>
      <c r="D54" s="398"/>
      <c r="E54" s="404">
        <f>C54</f>
        <v>162594</v>
      </c>
      <c r="F54" s="404">
        <v>158546</v>
      </c>
      <c r="G54" s="398">
        <v>677600</v>
      </c>
      <c r="H54" s="398"/>
      <c r="I54" s="406"/>
      <c r="J54" s="602"/>
      <c r="K54" s="4"/>
      <c r="L54" s="53"/>
      <c r="M54" s="65"/>
      <c r="N54" s="65"/>
      <c r="O54" s="69"/>
      <c r="P54" s="357"/>
      <c r="Q54" s="57"/>
      <c r="R54" s="57"/>
      <c r="S54" s="57"/>
      <c r="T54" s="70"/>
      <c r="U54" s="70"/>
      <c r="V54" s="70"/>
      <c r="W54" s="70"/>
    </row>
    <row r="55" spans="1:23" s="2" customFormat="1" ht="12.75" customHeight="1">
      <c r="A55" s="124"/>
      <c r="B55" s="691" t="s">
        <v>362</v>
      </c>
      <c r="C55" s="690"/>
      <c r="D55" s="692"/>
      <c r="E55" s="693"/>
      <c r="F55" s="693"/>
      <c r="G55" s="692"/>
      <c r="H55" s="692"/>
      <c r="I55" s="692"/>
      <c r="J55" s="694">
        <v>50000</v>
      </c>
      <c r="K55" s="4"/>
      <c r="L55" s="53"/>
      <c r="M55" s="65"/>
      <c r="N55" s="65"/>
      <c r="O55" s="69"/>
      <c r="P55" s="688"/>
      <c r="Q55" s="57">
        <f>J55</f>
        <v>50000</v>
      </c>
      <c r="R55" s="57"/>
      <c r="S55" s="57"/>
      <c r="T55" s="70"/>
      <c r="U55" s="70"/>
      <c r="V55" s="70"/>
      <c r="W55" s="70"/>
    </row>
    <row r="56" spans="1:23" s="2" customFormat="1" ht="12.75" customHeight="1">
      <c r="A56" s="124"/>
      <c r="B56" s="691" t="s">
        <v>363</v>
      </c>
      <c r="C56" s="690"/>
      <c r="D56" s="692"/>
      <c r="E56" s="693"/>
      <c r="F56" s="693"/>
      <c r="G56" s="692"/>
      <c r="H56" s="692"/>
      <c r="I56" s="692"/>
      <c r="J56" s="694">
        <v>50000</v>
      </c>
      <c r="K56" s="4"/>
      <c r="L56" s="53"/>
      <c r="M56" s="65"/>
      <c r="N56" s="65"/>
      <c r="O56" s="69"/>
      <c r="P56" s="688"/>
      <c r="Q56" s="57">
        <f>J56</f>
        <v>50000</v>
      </c>
      <c r="R56" s="57"/>
      <c r="S56" s="57"/>
      <c r="T56" s="70"/>
      <c r="U56" s="70"/>
      <c r="V56" s="70"/>
      <c r="W56" s="70"/>
    </row>
    <row r="57" spans="1:23" s="2" customFormat="1" ht="12.75" customHeight="1" thickBot="1">
      <c r="A57" s="124"/>
      <c r="B57" s="536" t="s">
        <v>157</v>
      </c>
      <c r="C57" s="432">
        <v>727935</v>
      </c>
      <c r="D57" s="408">
        <v>710944</v>
      </c>
      <c r="E57" s="407">
        <f>C57</f>
        <v>727935</v>
      </c>
      <c r="F57" s="407">
        <v>680479</v>
      </c>
      <c r="G57" s="408">
        <v>749468</v>
      </c>
      <c r="H57" s="408">
        <v>293555</v>
      </c>
      <c r="I57" s="408">
        <v>342069</v>
      </c>
      <c r="J57" s="603">
        <f>830651-J124-46000</f>
        <v>759885</v>
      </c>
      <c r="K57" s="4"/>
      <c r="L57" s="26"/>
      <c r="M57" s="81"/>
      <c r="N57" s="81"/>
      <c r="O57" s="69"/>
      <c r="P57" s="359"/>
      <c r="Q57" s="57"/>
      <c r="R57" s="57"/>
      <c r="S57" s="57"/>
      <c r="T57" s="70"/>
      <c r="U57" s="70"/>
      <c r="V57" s="70"/>
      <c r="W57" s="70"/>
    </row>
    <row r="58" spans="1:19" s="11" customFormat="1" ht="14.25" thickBot="1">
      <c r="A58" s="124"/>
      <c r="B58" s="434" t="s">
        <v>2</v>
      </c>
      <c r="C58" s="433">
        <f aca="true" t="shared" si="3" ref="C58:J58">SUM(C7:C57)</f>
        <v>12493975</v>
      </c>
      <c r="D58" s="360">
        <f t="shared" si="3"/>
        <v>12469547</v>
      </c>
      <c r="E58" s="44">
        <f t="shared" si="3"/>
        <v>12888766</v>
      </c>
      <c r="F58" s="44">
        <f t="shared" si="3"/>
        <v>12963019</v>
      </c>
      <c r="G58" s="360">
        <f t="shared" si="3"/>
        <v>13719257</v>
      </c>
      <c r="H58" s="360">
        <f t="shared" si="3"/>
        <v>5235784</v>
      </c>
      <c r="I58" s="360">
        <f t="shared" si="3"/>
        <v>6245701</v>
      </c>
      <c r="J58" s="425">
        <f t="shared" si="3"/>
        <v>14081624</v>
      </c>
      <c r="K58" s="5"/>
      <c r="L58" s="56"/>
      <c r="M58" s="82"/>
      <c r="N58" s="82"/>
      <c r="O58" s="83"/>
      <c r="P58" s="124"/>
      <c r="Q58" s="695">
        <f>SUM(Q12:Q57)</f>
        <v>2978500</v>
      </c>
      <c r="R58" s="7"/>
      <c r="S58" s="695">
        <f>SUM(S12:S57)</f>
        <v>471500</v>
      </c>
    </row>
    <row r="59" spans="1:22" ht="15.75" thickBot="1">
      <c r="A59" s="347"/>
      <c r="B59" s="361"/>
      <c r="C59" s="13"/>
      <c r="D59" s="362"/>
      <c r="E59" s="22"/>
      <c r="F59" s="22"/>
      <c r="G59" s="362"/>
      <c r="H59" s="362"/>
      <c r="I59" s="362"/>
      <c r="J59" s="604"/>
      <c r="K59" s="4"/>
      <c r="L59" s="64"/>
      <c r="M59" s="65"/>
      <c r="N59" s="65"/>
      <c r="O59" s="33"/>
      <c r="Q59" s="7"/>
      <c r="R59" s="7"/>
      <c r="S59" s="7"/>
      <c r="T59" s="10"/>
      <c r="U59" s="10"/>
      <c r="V59" s="10"/>
    </row>
    <row r="60" spans="2:22" ht="15.75" thickBot="1">
      <c r="B60" s="363" t="s">
        <v>3</v>
      </c>
      <c r="C60" s="14"/>
      <c r="D60" s="362"/>
      <c r="E60" s="22"/>
      <c r="F60" s="22"/>
      <c r="G60" s="362"/>
      <c r="H60" s="362"/>
      <c r="I60" s="362"/>
      <c r="J60" s="604"/>
      <c r="K60" s="14"/>
      <c r="L60" s="64"/>
      <c r="M60" s="65"/>
      <c r="N60" s="65"/>
      <c r="O60" s="33"/>
      <c r="Q60" s="7"/>
      <c r="R60" s="7"/>
      <c r="S60" s="7"/>
      <c r="T60" s="10"/>
      <c r="U60" s="5"/>
      <c r="V60" s="10"/>
    </row>
    <row r="61" spans="1:22" s="2" customFormat="1" ht="12.75" customHeight="1">
      <c r="A61" s="124"/>
      <c r="B61" s="525" t="s">
        <v>11</v>
      </c>
      <c r="C61" s="444">
        <v>2500000</v>
      </c>
      <c r="D61" s="437">
        <v>2882256</v>
      </c>
      <c r="E61" s="436">
        <f>C61</f>
        <v>2500000</v>
      </c>
      <c r="F61" s="436">
        <v>2548002</v>
      </c>
      <c r="G61" s="437">
        <v>2680000</v>
      </c>
      <c r="H61" s="437">
        <v>1524300</v>
      </c>
      <c r="I61" s="437">
        <v>1695100</v>
      </c>
      <c r="J61" s="605">
        <v>2948000</v>
      </c>
      <c r="K61" s="26"/>
      <c r="L61" s="30"/>
      <c r="M61" s="65"/>
      <c r="N61" s="65"/>
      <c r="O61" s="69"/>
      <c r="P61" s="356"/>
      <c r="Q61" s="57"/>
      <c r="R61" s="16"/>
      <c r="S61" s="57"/>
      <c r="T61" s="69"/>
      <c r="U61" s="69"/>
      <c r="V61" s="69"/>
    </row>
    <row r="62" spans="1:22" s="2" customFormat="1" ht="12.75" customHeight="1" hidden="1">
      <c r="A62" s="124"/>
      <c r="B62" s="526" t="s">
        <v>227</v>
      </c>
      <c r="C62" s="426"/>
      <c r="D62" s="411"/>
      <c r="E62" s="496"/>
      <c r="F62" s="496"/>
      <c r="G62" s="411"/>
      <c r="H62" s="411"/>
      <c r="I62" s="411"/>
      <c r="J62" s="601"/>
      <c r="K62" s="26"/>
      <c r="L62" s="30"/>
      <c r="M62" s="65"/>
      <c r="N62" s="65"/>
      <c r="O62" s="69"/>
      <c r="P62" s="414"/>
      <c r="Q62" s="57"/>
      <c r="R62" s="16"/>
      <c r="S62" s="57"/>
      <c r="T62" s="69"/>
      <c r="U62" s="69"/>
      <c r="V62" s="69"/>
    </row>
    <row r="63" spans="1:22" s="2" customFormat="1" ht="12.75" customHeight="1" hidden="1">
      <c r="A63" s="124"/>
      <c r="B63" s="527" t="s">
        <v>190</v>
      </c>
      <c r="C63" s="427">
        <v>162594</v>
      </c>
      <c r="D63" s="398"/>
      <c r="E63" s="439">
        <f>C63</f>
        <v>162594</v>
      </c>
      <c r="F63" s="439">
        <v>158546</v>
      </c>
      <c r="G63" s="398">
        <v>677600</v>
      </c>
      <c r="H63" s="398"/>
      <c r="I63" s="406"/>
      <c r="J63" s="602">
        <v>0</v>
      </c>
      <c r="K63" s="26"/>
      <c r="L63" s="30"/>
      <c r="M63" s="65"/>
      <c r="N63" s="65"/>
      <c r="O63" s="69"/>
      <c r="P63" s="357"/>
      <c r="Q63" s="57"/>
      <c r="R63" s="16"/>
      <c r="S63" s="57"/>
      <c r="T63" s="69"/>
      <c r="U63" s="69"/>
      <c r="V63" s="69"/>
    </row>
    <row r="64" spans="1:22" s="2" customFormat="1" ht="12.75" customHeight="1" hidden="1">
      <c r="A64" s="124"/>
      <c r="B64" s="527" t="s">
        <v>192</v>
      </c>
      <c r="C64" s="430">
        <v>30262</v>
      </c>
      <c r="D64" s="398"/>
      <c r="E64" s="439">
        <f>C64</f>
        <v>30262</v>
      </c>
      <c r="F64" s="439">
        <v>0</v>
      </c>
      <c r="G64" s="398">
        <v>37644</v>
      </c>
      <c r="H64" s="398"/>
      <c r="I64" s="406"/>
      <c r="J64" s="602">
        <v>0</v>
      </c>
      <c r="K64" s="53"/>
      <c r="L64" s="30"/>
      <c r="M64" s="65"/>
      <c r="N64" s="65"/>
      <c r="O64" s="69"/>
      <c r="P64" s="357"/>
      <c r="Q64" s="57"/>
      <c r="R64" s="16"/>
      <c r="S64" s="57"/>
      <c r="T64" s="69"/>
      <c r="U64" s="69"/>
      <c r="V64" s="69"/>
    </row>
    <row r="65" spans="1:22" s="2" customFormat="1" ht="12.75" customHeight="1">
      <c r="A65" s="124"/>
      <c r="B65" s="527" t="s">
        <v>12</v>
      </c>
      <c r="C65" s="427">
        <v>20000</v>
      </c>
      <c r="D65" s="398">
        <v>2635</v>
      </c>
      <c r="E65" s="439">
        <f>C65</f>
        <v>20000</v>
      </c>
      <c r="F65" s="439">
        <v>18863</v>
      </c>
      <c r="G65" s="398">
        <v>21000</v>
      </c>
      <c r="H65" s="398">
        <v>16</v>
      </c>
      <c r="I65" s="398"/>
      <c r="J65" s="602">
        <v>23100</v>
      </c>
      <c r="K65" s="26"/>
      <c r="L65" s="30"/>
      <c r="M65" s="65"/>
      <c r="N65" s="65"/>
      <c r="O65" s="69"/>
      <c r="P65" s="357"/>
      <c r="Q65" s="57"/>
      <c r="R65" s="16" t="s">
        <v>263</v>
      </c>
      <c r="S65" s="57"/>
      <c r="T65" s="69"/>
      <c r="U65" s="69"/>
      <c r="V65" s="69"/>
    </row>
    <row r="66" spans="1:22" s="2" customFormat="1" ht="12.75" customHeight="1">
      <c r="A66" s="124"/>
      <c r="B66" s="541" t="s">
        <v>4</v>
      </c>
      <c r="C66" s="542">
        <v>7365189</v>
      </c>
      <c r="D66" s="543">
        <v>6381243</v>
      </c>
      <c r="E66" s="544">
        <v>7425365</v>
      </c>
      <c r="F66" s="544">
        <v>7425365</v>
      </c>
      <c r="G66" s="543">
        <v>7742513</v>
      </c>
      <c r="H66" s="543">
        <v>3185395</v>
      </c>
      <c r="I66" s="543">
        <v>3822474</v>
      </c>
      <c r="J66" s="606">
        <v>8750524</v>
      </c>
      <c r="K66" s="53"/>
      <c r="L66" s="30"/>
      <c r="M66" s="65"/>
      <c r="N66" s="65"/>
      <c r="O66" s="69"/>
      <c r="P66" s="357"/>
      <c r="Q66" s="57"/>
      <c r="R66" s="16"/>
      <c r="S66" s="57"/>
      <c r="T66" s="69"/>
      <c r="U66" s="69"/>
      <c r="V66" s="5"/>
    </row>
    <row r="67" spans="1:22" s="2" customFormat="1" ht="12.75" customHeight="1">
      <c r="A67" s="124"/>
      <c r="B67" s="580" t="s">
        <v>266</v>
      </c>
      <c r="C67" s="581">
        <v>950000</v>
      </c>
      <c r="D67" s="582">
        <v>950000</v>
      </c>
      <c r="E67" s="583">
        <f>C67</f>
        <v>950000</v>
      </c>
      <c r="F67" s="583">
        <v>950000</v>
      </c>
      <c r="G67" s="582">
        <v>950000</v>
      </c>
      <c r="H67" s="582">
        <v>0</v>
      </c>
      <c r="I67" s="582"/>
      <c r="J67" s="607">
        <f>950000+140000</f>
        <v>1090000</v>
      </c>
      <c r="K67" s="53"/>
      <c r="L67" s="30"/>
      <c r="M67" s="65"/>
      <c r="N67" s="65"/>
      <c r="O67" s="69"/>
      <c r="P67" s="357"/>
      <c r="Q67" s="57"/>
      <c r="R67" s="16">
        <f>J67</f>
        <v>1090000</v>
      </c>
      <c r="S67" s="57"/>
      <c r="T67" s="69"/>
      <c r="U67" s="69"/>
      <c r="V67" s="69"/>
    </row>
    <row r="68" spans="1:22" s="2" customFormat="1" ht="12.75" customHeight="1" hidden="1">
      <c r="A68" s="124"/>
      <c r="B68" s="579" t="s">
        <v>311</v>
      </c>
      <c r="C68" s="576"/>
      <c r="D68" s="620"/>
      <c r="E68" s="578">
        <v>130000</v>
      </c>
      <c r="F68" s="578">
        <v>130000</v>
      </c>
      <c r="G68" s="620"/>
      <c r="H68" s="620"/>
      <c r="I68" s="620"/>
      <c r="J68" s="623"/>
      <c r="K68" s="53"/>
      <c r="L68" s="30"/>
      <c r="M68" s="65"/>
      <c r="N68" s="65"/>
      <c r="O68" s="69"/>
      <c r="P68" s="357"/>
      <c r="Q68" s="57"/>
      <c r="S68" s="57"/>
      <c r="T68" s="69"/>
      <c r="U68" s="69"/>
      <c r="V68" s="69"/>
    </row>
    <row r="69" spans="1:22" s="2" customFormat="1" ht="12.75" customHeight="1" hidden="1">
      <c r="A69" s="124"/>
      <c r="B69" s="579" t="s">
        <v>309</v>
      </c>
      <c r="C69" s="576"/>
      <c r="D69" s="620"/>
      <c r="E69" s="578">
        <v>30000</v>
      </c>
      <c r="F69" s="578">
        <v>30000</v>
      </c>
      <c r="G69" s="620">
        <v>50000</v>
      </c>
      <c r="H69" s="620">
        <v>50000</v>
      </c>
      <c r="I69" s="620"/>
      <c r="J69" s="623"/>
      <c r="K69" s="53"/>
      <c r="L69" s="30"/>
      <c r="M69" s="65"/>
      <c r="N69" s="65"/>
      <c r="O69" s="69"/>
      <c r="P69" s="357"/>
      <c r="Q69" s="57"/>
      <c r="R69" s="16"/>
      <c r="S69" s="57"/>
      <c r="T69" s="69"/>
      <c r="U69" s="69"/>
      <c r="V69" s="69"/>
    </row>
    <row r="70" spans="1:22" s="2" customFormat="1" ht="12.75" customHeight="1" hidden="1">
      <c r="A70" s="124"/>
      <c r="B70" s="579" t="s">
        <v>360</v>
      </c>
      <c r="C70" s="576"/>
      <c r="D70" s="620"/>
      <c r="E70" s="578"/>
      <c r="F70" s="578"/>
      <c r="G70" s="620"/>
      <c r="H70" s="620"/>
      <c r="I70" s="620">
        <v>50000</v>
      </c>
      <c r="J70" s="623"/>
      <c r="K70" s="53"/>
      <c r="L70" s="30"/>
      <c r="M70" s="65"/>
      <c r="N70" s="65"/>
      <c r="O70" s="69"/>
      <c r="P70" s="357"/>
      <c r="Q70" s="57"/>
      <c r="R70" s="16"/>
      <c r="S70" s="57"/>
      <c r="T70" s="69"/>
      <c r="U70" s="69"/>
      <c r="V70" s="69"/>
    </row>
    <row r="71" spans="1:22" s="2" customFormat="1" ht="12.75" customHeight="1">
      <c r="A71" s="124"/>
      <c r="B71" s="584" t="s">
        <v>324</v>
      </c>
      <c r="C71" s="581"/>
      <c r="D71" s="582"/>
      <c r="E71" s="583"/>
      <c r="F71" s="583"/>
      <c r="G71" s="582">
        <v>50000</v>
      </c>
      <c r="H71" s="582"/>
      <c r="I71" s="582">
        <v>9000</v>
      </c>
      <c r="J71" s="607">
        <v>50000</v>
      </c>
      <c r="K71" s="53"/>
      <c r="L71" s="30"/>
      <c r="M71" s="65"/>
      <c r="N71" s="65"/>
      <c r="O71" s="69"/>
      <c r="P71" s="357"/>
      <c r="Q71" s="57"/>
      <c r="R71" s="16">
        <f>J71</f>
        <v>50000</v>
      </c>
      <c r="S71" s="57"/>
      <c r="T71" s="69"/>
      <c r="U71" s="69"/>
      <c r="V71" s="69"/>
    </row>
    <row r="72" spans="1:22" s="2" customFormat="1" ht="12.75" customHeight="1" hidden="1">
      <c r="A72" s="124"/>
      <c r="B72" s="585" t="s">
        <v>267</v>
      </c>
      <c r="C72" s="586">
        <v>402930</v>
      </c>
      <c r="D72" s="565">
        <v>340000</v>
      </c>
      <c r="E72" s="566">
        <v>510154</v>
      </c>
      <c r="F72" s="566">
        <v>510154</v>
      </c>
      <c r="G72" s="399"/>
      <c r="H72" s="399"/>
      <c r="I72" s="622"/>
      <c r="J72" s="615">
        <v>0</v>
      </c>
      <c r="K72" s="53"/>
      <c r="L72" s="30"/>
      <c r="M72" s="65"/>
      <c r="N72" s="65"/>
      <c r="O72" s="69"/>
      <c r="P72" s="357"/>
      <c r="Q72" s="57"/>
      <c r="R72" s="16"/>
      <c r="S72" s="57"/>
      <c r="T72" s="69"/>
      <c r="U72" s="69"/>
      <c r="V72" s="69"/>
    </row>
    <row r="73" spans="1:22" s="2" customFormat="1" ht="12.75" customHeight="1" hidden="1">
      <c r="A73" s="124"/>
      <c r="B73" s="585" t="s">
        <v>296</v>
      </c>
      <c r="C73" s="586"/>
      <c r="D73" s="565">
        <v>55000</v>
      </c>
      <c r="E73" s="439"/>
      <c r="F73" s="439"/>
      <c r="G73" s="399"/>
      <c r="H73" s="399"/>
      <c r="I73" s="399"/>
      <c r="J73" s="615"/>
      <c r="K73" s="53"/>
      <c r="L73" s="30"/>
      <c r="M73" s="65"/>
      <c r="N73" s="65"/>
      <c r="O73" s="69"/>
      <c r="P73" s="357"/>
      <c r="Q73" s="57"/>
      <c r="R73" s="16"/>
      <c r="S73" s="57"/>
      <c r="T73" s="69"/>
      <c r="U73" s="69"/>
      <c r="V73" s="69"/>
    </row>
    <row r="74" spans="1:19" s="2" customFormat="1" ht="12.75" customHeight="1">
      <c r="A74" s="124"/>
      <c r="B74" s="588" t="s">
        <v>325</v>
      </c>
      <c r="C74" s="567">
        <v>30000</v>
      </c>
      <c r="D74" s="565">
        <v>42000</v>
      </c>
      <c r="E74" s="566">
        <f>C74</f>
        <v>30000</v>
      </c>
      <c r="F74" s="566">
        <v>30000</v>
      </c>
      <c r="G74" s="565">
        <v>30000</v>
      </c>
      <c r="H74" s="565"/>
      <c r="I74" s="565"/>
      <c r="J74" s="608">
        <v>30000</v>
      </c>
      <c r="K74" s="53"/>
      <c r="L74" s="30"/>
      <c r="M74" s="65"/>
      <c r="N74" s="65"/>
      <c r="O74" s="69"/>
      <c r="P74" s="357"/>
      <c r="Q74" s="57"/>
      <c r="R74" s="16">
        <f aca="true" t="shared" si="4" ref="R74:R105">J74</f>
        <v>30000</v>
      </c>
      <c r="S74" s="57"/>
    </row>
    <row r="75" spans="1:19" s="2" customFormat="1" ht="12.75" customHeight="1" hidden="1">
      <c r="A75" s="124"/>
      <c r="B75" s="588" t="s">
        <v>295</v>
      </c>
      <c r="C75" s="567"/>
      <c r="D75" s="565">
        <v>30000</v>
      </c>
      <c r="E75" s="439"/>
      <c r="F75" s="439"/>
      <c r="G75" s="399"/>
      <c r="H75" s="399"/>
      <c r="I75" s="399"/>
      <c r="J75" s="615"/>
      <c r="K75" s="53"/>
      <c r="L75" s="30"/>
      <c r="M75" s="65"/>
      <c r="N75" s="65"/>
      <c r="O75" s="69"/>
      <c r="P75" s="357"/>
      <c r="Q75" s="57"/>
      <c r="R75" s="16"/>
      <c r="S75" s="57"/>
    </row>
    <row r="76" spans="1:19" s="2" customFormat="1" ht="12.75" customHeight="1">
      <c r="A76" s="124"/>
      <c r="B76" s="589" t="s">
        <v>351</v>
      </c>
      <c r="C76" s="586">
        <v>40000</v>
      </c>
      <c r="D76" s="565">
        <v>40000</v>
      </c>
      <c r="E76" s="566">
        <f>C76</f>
        <v>40000</v>
      </c>
      <c r="F76" s="566">
        <v>40000</v>
      </c>
      <c r="G76" s="565">
        <v>60000</v>
      </c>
      <c r="H76" s="565"/>
      <c r="I76" s="565">
        <v>12000</v>
      </c>
      <c r="J76" s="608">
        <f>60000-30000</f>
        <v>30000</v>
      </c>
      <c r="K76" s="26"/>
      <c r="L76" s="53"/>
      <c r="M76" s="65"/>
      <c r="N76" s="65"/>
      <c r="O76" s="69"/>
      <c r="P76" s="357"/>
      <c r="Q76" s="57"/>
      <c r="R76" s="16">
        <f t="shared" si="4"/>
        <v>30000</v>
      </c>
      <c r="S76" s="57"/>
    </row>
    <row r="77" spans="1:19" s="2" customFormat="1" ht="12.75" customHeight="1">
      <c r="A77" s="124"/>
      <c r="B77" s="590" t="s">
        <v>265</v>
      </c>
      <c r="C77" s="586">
        <v>40000</v>
      </c>
      <c r="D77" s="565">
        <v>40000</v>
      </c>
      <c r="E77" s="566">
        <v>10155</v>
      </c>
      <c r="F77" s="566">
        <v>10155</v>
      </c>
      <c r="G77" s="565">
        <v>25000</v>
      </c>
      <c r="H77" s="565"/>
      <c r="I77" s="565"/>
      <c r="J77" s="608">
        <v>10000</v>
      </c>
      <c r="K77" s="26"/>
      <c r="L77" s="53"/>
      <c r="M77" s="65"/>
      <c r="N77" s="65"/>
      <c r="O77" s="69"/>
      <c r="P77" s="357"/>
      <c r="Q77" s="57"/>
      <c r="R77" s="16">
        <f t="shared" si="4"/>
        <v>10000</v>
      </c>
      <c r="S77" s="57"/>
    </row>
    <row r="78" spans="1:19" s="2" customFormat="1" ht="12.75" customHeight="1">
      <c r="A78" s="124"/>
      <c r="B78" s="590" t="s">
        <v>270</v>
      </c>
      <c r="C78" s="586">
        <v>120000</v>
      </c>
      <c r="D78" s="565">
        <v>135000</v>
      </c>
      <c r="E78" s="566">
        <v>114932</v>
      </c>
      <c r="F78" s="566">
        <v>114932</v>
      </c>
      <c r="G78" s="565">
        <v>130000</v>
      </c>
      <c r="H78" s="565"/>
      <c r="I78" s="565"/>
      <c r="J78" s="608">
        <v>130000</v>
      </c>
      <c r="K78" s="26"/>
      <c r="L78" s="53"/>
      <c r="M78" s="65"/>
      <c r="N78" s="65"/>
      <c r="O78" s="69"/>
      <c r="P78" s="357"/>
      <c r="Q78" s="57"/>
      <c r="R78" s="16">
        <f t="shared" si="4"/>
        <v>130000</v>
      </c>
      <c r="S78" s="57"/>
    </row>
    <row r="79" spans="1:19" s="2" customFormat="1" ht="12.75" customHeight="1">
      <c r="A79" s="124"/>
      <c r="B79" s="590" t="s">
        <v>271</v>
      </c>
      <c r="C79" s="586">
        <v>60000</v>
      </c>
      <c r="D79" s="565">
        <v>60000</v>
      </c>
      <c r="E79" s="566">
        <v>20796</v>
      </c>
      <c r="F79" s="566">
        <v>20796</v>
      </c>
      <c r="G79" s="565">
        <v>30000</v>
      </c>
      <c r="H79" s="565">
        <v>25000</v>
      </c>
      <c r="I79" s="565">
        <v>25000</v>
      </c>
      <c r="J79" s="608">
        <v>30000</v>
      </c>
      <c r="K79" s="26"/>
      <c r="L79" s="53"/>
      <c r="M79" s="65"/>
      <c r="N79" s="65"/>
      <c r="O79" s="69"/>
      <c r="P79" s="357"/>
      <c r="Q79" s="57"/>
      <c r="R79" s="16">
        <f t="shared" si="4"/>
        <v>30000</v>
      </c>
      <c r="S79" s="57"/>
    </row>
    <row r="80" spans="1:19" s="2" customFormat="1" ht="12.75" customHeight="1" hidden="1">
      <c r="A80" s="124"/>
      <c r="B80" s="590" t="s">
        <v>297</v>
      </c>
      <c r="C80" s="586"/>
      <c r="D80" s="565">
        <v>20000</v>
      </c>
      <c r="E80" s="439"/>
      <c r="F80" s="439"/>
      <c r="G80" s="399"/>
      <c r="H80" s="399"/>
      <c r="I80" s="399"/>
      <c r="J80" s="615"/>
      <c r="K80" s="26"/>
      <c r="L80" s="53"/>
      <c r="M80" s="65"/>
      <c r="N80" s="65"/>
      <c r="O80" s="69"/>
      <c r="P80" s="357"/>
      <c r="Q80" s="57"/>
      <c r="R80" s="16"/>
      <c r="S80" s="57"/>
    </row>
    <row r="81" spans="1:19" s="2" customFormat="1" ht="12.75" customHeight="1">
      <c r="A81" s="124"/>
      <c r="B81" s="590" t="s">
        <v>272</v>
      </c>
      <c r="C81" s="586">
        <v>15000</v>
      </c>
      <c r="D81" s="565">
        <v>15000</v>
      </c>
      <c r="E81" s="566">
        <v>14881</v>
      </c>
      <c r="F81" s="566">
        <v>14881</v>
      </c>
      <c r="G81" s="565">
        <v>15000</v>
      </c>
      <c r="H81" s="565"/>
      <c r="I81" s="565"/>
      <c r="J81" s="608">
        <v>15000</v>
      </c>
      <c r="K81" s="26"/>
      <c r="L81" s="53"/>
      <c r="M81" s="65"/>
      <c r="N81" s="65"/>
      <c r="O81" s="69"/>
      <c r="P81" s="357"/>
      <c r="Q81" s="57"/>
      <c r="R81" s="16">
        <f t="shared" si="4"/>
        <v>15000</v>
      </c>
      <c r="S81" s="57"/>
    </row>
    <row r="82" spans="1:19" s="2" customFormat="1" ht="12.75" customHeight="1" hidden="1">
      <c r="A82" s="124"/>
      <c r="B82" s="590" t="s">
        <v>273</v>
      </c>
      <c r="C82" s="586"/>
      <c r="D82" s="565">
        <v>45000</v>
      </c>
      <c r="E82" s="439"/>
      <c r="F82" s="439"/>
      <c r="G82" s="399"/>
      <c r="H82" s="399"/>
      <c r="I82" s="399"/>
      <c r="J82" s="615"/>
      <c r="K82" s="26"/>
      <c r="L82" s="53"/>
      <c r="M82" s="65"/>
      <c r="N82" s="65"/>
      <c r="O82" s="69"/>
      <c r="P82" s="357"/>
      <c r="Q82" s="57"/>
      <c r="R82" s="16"/>
      <c r="S82" s="57"/>
    </row>
    <row r="83" spans="1:19" s="2" customFormat="1" ht="12.75" customHeight="1">
      <c r="A83" s="124"/>
      <c r="B83" s="590" t="s">
        <v>274</v>
      </c>
      <c r="C83" s="586">
        <v>50000</v>
      </c>
      <c r="D83" s="565">
        <v>20000</v>
      </c>
      <c r="E83" s="566">
        <v>7767</v>
      </c>
      <c r="F83" s="566">
        <v>7767</v>
      </c>
      <c r="G83" s="565">
        <v>20000</v>
      </c>
      <c r="H83" s="565"/>
      <c r="I83" s="565"/>
      <c r="J83" s="608">
        <v>20000</v>
      </c>
      <c r="K83" s="26"/>
      <c r="L83" s="53"/>
      <c r="M83" s="65"/>
      <c r="N83" s="65"/>
      <c r="O83" s="69"/>
      <c r="P83" s="357"/>
      <c r="Q83" s="57"/>
      <c r="R83" s="16">
        <f t="shared" si="4"/>
        <v>20000</v>
      </c>
      <c r="S83" s="57"/>
    </row>
    <row r="84" spans="1:19" s="2" customFormat="1" ht="12.75" customHeight="1">
      <c r="A84" s="124"/>
      <c r="B84" s="590" t="s">
        <v>275</v>
      </c>
      <c r="C84" s="581">
        <v>30000</v>
      </c>
      <c r="D84" s="582">
        <v>30000</v>
      </c>
      <c r="E84" s="583">
        <f>C84</f>
        <v>30000</v>
      </c>
      <c r="F84" s="583">
        <v>30000</v>
      </c>
      <c r="G84" s="582">
        <v>20000</v>
      </c>
      <c r="H84" s="582">
        <v>10000</v>
      </c>
      <c r="I84" s="565">
        <v>10000</v>
      </c>
      <c r="J84" s="608">
        <v>20000</v>
      </c>
      <c r="K84" s="26"/>
      <c r="L84" s="53"/>
      <c r="M84" s="65"/>
      <c r="N84" s="65"/>
      <c r="O84" s="69"/>
      <c r="P84" s="357"/>
      <c r="Q84" s="57"/>
      <c r="R84" s="16">
        <f t="shared" si="4"/>
        <v>20000</v>
      </c>
      <c r="S84" s="57"/>
    </row>
    <row r="85" spans="1:19" s="2" customFormat="1" ht="12.75" customHeight="1">
      <c r="A85" s="124"/>
      <c r="B85" s="590" t="s">
        <v>276</v>
      </c>
      <c r="C85" s="581">
        <v>80000</v>
      </c>
      <c r="D85" s="582">
        <v>75000</v>
      </c>
      <c r="E85" s="583">
        <v>184524</v>
      </c>
      <c r="F85" s="583">
        <v>184524</v>
      </c>
      <c r="G85" s="582">
        <v>280000</v>
      </c>
      <c r="H85" s="582">
        <v>140000</v>
      </c>
      <c r="I85" s="565">
        <v>280000</v>
      </c>
      <c r="J85" s="608">
        <v>180000</v>
      </c>
      <c r="K85" s="26"/>
      <c r="L85" s="53"/>
      <c r="M85" s="65"/>
      <c r="N85" s="65"/>
      <c r="O85" s="69"/>
      <c r="P85" s="357"/>
      <c r="Q85" s="57"/>
      <c r="R85" s="16">
        <f t="shared" si="4"/>
        <v>180000</v>
      </c>
      <c r="S85" s="57"/>
    </row>
    <row r="86" spans="1:19" s="2" customFormat="1" ht="12.75" customHeight="1" hidden="1">
      <c r="A86" s="124"/>
      <c r="B86" s="579" t="s">
        <v>178</v>
      </c>
      <c r="C86" s="576"/>
      <c r="D86" s="620"/>
      <c r="E86" s="578">
        <v>50000</v>
      </c>
      <c r="F86" s="578">
        <v>50000</v>
      </c>
      <c r="G86" s="620"/>
      <c r="H86" s="620"/>
      <c r="I86" s="399"/>
      <c r="J86" s="615"/>
      <c r="K86" s="26"/>
      <c r="L86" s="53"/>
      <c r="M86" s="65"/>
      <c r="N86" s="65"/>
      <c r="O86" s="69"/>
      <c r="P86" s="357"/>
      <c r="Q86" s="57"/>
      <c r="R86" s="16"/>
      <c r="S86" s="57"/>
    </row>
    <row r="87" spans="1:19" s="2" customFormat="1" ht="12.75" customHeight="1">
      <c r="A87" s="124"/>
      <c r="B87" s="584" t="s">
        <v>277</v>
      </c>
      <c r="C87" s="581">
        <v>50000</v>
      </c>
      <c r="D87" s="582"/>
      <c r="E87" s="583">
        <f>C87</f>
        <v>50000</v>
      </c>
      <c r="F87" s="583">
        <v>50000</v>
      </c>
      <c r="G87" s="582">
        <v>40500</v>
      </c>
      <c r="H87" s="582">
        <v>50000</v>
      </c>
      <c r="I87" s="565">
        <v>50000</v>
      </c>
      <c r="J87" s="608">
        <v>50000</v>
      </c>
      <c r="K87" s="26"/>
      <c r="L87" s="53"/>
      <c r="M87" s="65"/>
      <c r="N87" s="65"/>
      <c r="O87" s="69"/>
      <c r="P87" s="357"/>
      <c r="Q87" s="57"/>
      <c r="R87" s="16">
        <f t="shared" si="4"/>
        <v>50000</v>
      </c>
      <c r="S87" s="57"/>
    </row>
    <row r="88" spans="1:19" s="2" customFormat="1" ht="12.75" customHeight="1">
      <c r="A88" s="124"/>
      <c r="B88" s="584" t="s">
        <v>278</v>
      </c>
      <c r="C88" s="581"/>
      <c r="D88" s="582"/>
      <c r="E88" s="583"/>
      <c r="F88" s="583"/>
      <c r="G88" s="582">
        <v>0</v>
      </c>
      <c r="H88" s="582">
        <v>50000</v>
      </c>
      <c r="I88" s="565">
        <v>50000</v>
      </c>
      <c r="J88" s="608">
        <v>30000</v>
      </c>
      <c r="K88" s="26"/>
      <c r="L88" s="53"/>
      <c r="M88" s="65"/>
      <c r="N88" s="65"/>
      <c r="O88" s="69"/>
      <c r="P88" s="357"/>
      <c r="Q88" s="57"/>
      <c r="R88" s="16">
        <f t="shared" si="4"/>
        <v>30000</v>
      </c>
      <c r="S88" s="57"/>
    </row>
    <row r="89" spans="1:19" s="2" customFormat="1" ht="12.75" customHeight="1" hidden="1">
      <c r="A89" s="124"/>
      <c r="B89" s="584" t="s">
        <v>279</v>
      </c>
      <c r="C89" s="581">
        <v>20000</v>
      </c>
      <c r="D89" s="582">
        <v>20000</v>
      </c>
      <c r="E89" s="583">
        <f>C89</f>
        <v>20000</v>
      </c>
      <c r="F89" s="583">
        <v>20000</v>
      </c>
      <c r="G89" s="620"/>
      <c r="H89" s="620"/>
      <c r="I89" s="399"/>
      <c r="J89" s="615"/>
      <c r="K89" s="26"/>
      <c r="L89" s="53"/>
      <c r="M89" s="65"/>
      <c r="N89" s="65"/>
      <c r="O89" s="69"/>
      <c r="P89" s="357"/>
      <c r="Q89" s="57"/>
      <c r="R89" s="16"/>
      <c r="S89" s="57"/>
    </row>
    <row r="90" spans="1:19" s="2" customFormat="1" ht="12.75" customHeight="1">
      <c r="A90" s="124"/>
      <c r="B90" s="584" t="s">
        <v>280</v>
      </c>
      <c r="C90" s="581">
        <v>370000</v>
      </c>
      <c r="D90" s="582">
        <v>207999</v>
      </c>
      <c r="E90" s="583">
        <f>C90</f>
        <v>370000</v>
      </c>
      <c r="F90" s="583">
        <v>370000</v>
      </c>
      <c r="G90" s="582">
        <v>370000</v>
      </c>
      <c r="H90" s="582"/>
      <c r="I90" s="565"/>
      <c r="J90" s="608">
        <v>270000</v>
      </c>
      <c r="K90" s="26"/>
      <c r="L90" s="53"/>
      <c r="M90" s="65"/>
      <c r="N90" s="65"/>
      <c r="O90" s="69"/>
      <c r="P90" s="357"/>
      <c r="Q90" s="57"/>
      <c r="R90" s="16">
        <f t="shared" si="4"/>
        <v>270000</v>
      </c>
      <c r="S90" s="57"/>
    </row>
    <row r="91" spans="1:19" s="2" customFormat="1" ht="12.75" customHeight="1">
      <c r="A91" s="124"/>
      <c r="B91" s="584" t="s">
        <v>281</v>
      </c>
      <c r="C91" s="581">
        <v>20000</v>
      </c>
      <c r="D91" s="582">
        <v>8000</v>
      </c>
      <c r="E91" s="583">
        <v>0</v>
      </c>
      <c r="F91" s="583">
        <v>0</v>
      </c>
      <c r="G91" s="582">
        <v>20000</v>
      </c>
      <c r="H91" s="582"/>
      <c r="I91" s="565"/>
      <c r="J91" s="608">
        <v>20000</v>
      </c>
      <c r="K91" s="26"/>
      <c r="L91" s="53"/>
      <c r="M91" s="65"/>
      <c r="N91" s="65"/>
      <c r="O91" s="69"/>
      <c r="P91" s="357"/>
      <c r="Q91" s="57"/>
      <c r="R91" s="16">
        <f t="shared" si="4"/>
        <v>20000</v>
      </c>
      <c r="S91" s="57"/>
    </row>
    <row r="92" spans="1:19" s="2" customFormat="1" ht="12.75" customHeight="1">
      <c r="A92" s="124"/>
      <c r="B92" s="584" t="s">
        <v>282</v>
      </c>
      <c r="C92" s="581">
        <v>50000</v>
      </c>
      <c r="D92" s="582">
        <v>12001</v>
      </c>
      <c r="E92" s="583">
        <v>34336</v>
      </c>
      <c r="F92" s="583">
        <v>34336</v>
      </c>
      <c r="G92" s="582">
        <v>50000</v>
      </c>
      <c r="H92" s="582"/>
      <c r="I92" s="565"/>
      <c r="J92" s="608">
        <f>50000-5000</f>
        <v>45000</v>
      </c>
      <c r="K92" s="26"/>
      <c r="L92" s="53"/>
      <c r="M92" s="65"/>
      <c r="N92" s="65"/>
      <c r="O92" s="69"/>
      <c r="P92" s="357"/>
      <c r="Q92" s="57"/>
      <c r="R92" s="16">
        <f t="shared" si="4"/>
        <v>45000</v>
      </c>
      <c r="S92" s="57"/>
    </row>
    <row r="93" spans="1:19" s="2" customFormat="1" ht="12.75" customHeight="1" hidden="1">
      <c r="A93" s="124"/>
      <c r="B93" s="579" t="s">
        <v>183</v>
      </c>
      <c r="C93" s="576"/>
      <c r="D93" s="620"/>
      <c r="E93" s="578">
        <v>10000</v>
      </c>
      <c r="F93" s="578">
        <v>10000</v>
      </c>
      <c r="G93" s="620"/>
      <c r="H93" s="620"/>
      <c r="I93" s="399"/>
      <c r="J93" s="615"/>
      <c r="K93" s="26"/>
      <c r="L93" s="53"/>
      <c r="M93" s="65"/>
      <c r="N93" s="65"/>
      <c r="O93" s="69"/>
      <c r="P93" s="357"/>
      <c r="Q93" s="57"/>
      <c r="R93" s="16"/>
      <c r="S93" s="57"/>
    </row>
    <row r="94" spans="1:19" s="2" customFormat="1" ht="12.75" customHeight="1">
      <c r="A94" s="124"/>
      <c r="B94" s="584" t="s">
        <v>327</v>
      </c>
      <c r="C94" s="581">
        <v>20000</v>
      </c>
      <c r="D94" s="582">
        <v>20000</v>
      </c>
      <c r="E94" s="583">
        <f>C94</f>
        <v>20000</v>
      </c>
      <c r="F94" s="583">
        <v>20000</v>
      </c>
      <c r="G94" s="582">
        <v>20000</v>
      </c>
      <c r="H94" s="582">
        <v>20000</v>
      </c>
      <c r="I94" s="565">
        <v>20000</v>
      </c>
      <c r="J94" s="608">
        <v>10000</v>
      </c>
      <c r="K94" s="26"/>
      <c r="L94" s="53"/>
      <c r="M94" s="65"/>
      <c r="N94" s="65"/>
      <c r="O94" s="69"/>
      <c r="P94" s="357"/>
      <c r="Q94" s="57"/>
      <c r="R94" s="16">
        <f t="shared" si="4"/>
        <v>10000</v>
      </c>
      <c r="S94" s="57"/>
    </row>
    <row r="95" spans="1:19" s="2" customFormat="1" ht="12.75" customHeight="1">
      <c r="A95" s="124"/>
      <c r="B95" s="584" t="s">
        <v>321</v>
      </c>
      <c r="C95" s="581"/>
      <c r="D95" s="582"/>
      <c r="E95" s="583"/>
      <c r="F95" s="583"/>
      <c r="G95" s="582">
        <v>210000</v>
      </c>
      <c r="H95" s="582"/>
      <c r="I95" s="587">
        <v>210000</v>
      </c>
      <c r="J95" s="608">
        <v>100000</v>
      </c>
      <c r="K95" s="26"/>
      <c r="L95" s="53"/>
      <c r="M95" s="65"/>
      <c r="N95" s="65"/>
      <c r="O95" s="69"/>
      <c r="P95" s="357"/>
      <c r="Q95" s="57"/>
      <c r="R95" s="16">
        <f>J95</f>
        <v>100000</v>
      </c>
      <c r="S95" s="57"/>
    </row>
    <row r="96" spans="1:19" s="2" customFormat="1" ht="12.75" customHeight="1">
      <c r="A96" s="124"/>
      <c r="B96" s="584" t="s">
        <v>320</v>
      </c>
      <c r="C96" s="581"/>
      <c r="D96" s="582"/>
      <c r="E96" s="594">
        <v>40000</v>
      </c>
      <c r="F96" s="594">
        <v>40000</v>
      </c>
      <c r="G96" s="582">
        <v>50000</v>
      </c>
      <c r="H96" s="582"/>
      <c r="I96" s="587">
        <v>0</v>
      </c>
      <c r="J96" s="608">
        <v>50000</v>
      </c>
      <c r="K96" s="26"/>
      <c r="L96" s="53"/>
      <c r="M96" s="65"/>
      <c r="N96" s="65"/>
      <c r="O96" s="69"/>
      <c r="P96" s="357"/>
      <c r="Q96" s="57"/>
      <c r="R96" s="16">
        <f>J96</f>
        <v>50000</v>
      </c>
      <c r="S96" s="57"/>
    </row>
    <row r="97" spans="1:19" s="2" customFormat="1" ht="12.75" customHeight="1" hidden="1">
      <c r="A97" s="124"/>
      <c r="B97" s="579" t="s">
        <v>312</v>
      </c>
      <c r="C97" s="576"/>
      <c r="D97" s="620"/>
      <c r="E97" s="621">
        <v>15000</v>
      </c>
      <c r="F97" s="621">
        <v>15000</v>
      </c>
      <c r="G97" s="620"/>
      <c r="H97" s="620"/>
      <c r="I97" s="622"/>
      <c r="J97" s="615"/>
      <c r="K97" s="26"/>
      <c r="L97" s="53"/>
      <c r="M97" s="65"/>
      <c r="N97" s="65"/>
      <c r="O97" s="69"/>
      <c r="P97" s="357"/>
      <c r="Q97" s="57"/>
      <c r="R97" s="16"/>
      <c r="S97" s="57"/>
    </row>
    <row r="98" spans="1:19" s="2" customFormat="1" ht="12.75" customHeight="1" hidden="1">
      <c r="A98" s="124"/>
      <c r="B98" s="584" t="s">
        <v>284</v>
      </c>
      <c r="C98" s="581"/>
      <c r="D98" s="582"/>
      <c r="E98" s="594"/>
      <c r="F98" s="594"/>
      <c r="G98" s="582"/>
      <c r="H98" s="582"/>
      <c r="I98" s="587"/>
      <c r="J98" s="608"/>
      <c r="K98" s="26"/>
      <c r="L98" s="53"/>
      <c r="M98" s="65"/>
      <c r="N98" s="65"/>
      <c r="O98" s="69"/>
      <c r="P98" s="357"/>
      <c r="Q98" s="57"/>
      <c r="R98" s="16">
        <f t="shared" si="4"/>
        <v>0</v>
      </c>
      <c r="S98" s="57"/>
    </row>
    <row r="99" spans="1:19" s="2" customFormat="1" ht="12.75" customHeight="1" hidden="1">
      <c r="A99" s="124"/>
      <c r="B99" s="625" t="s">
        <v>256</v>
      </c>
      <c r="C99" s="624"/>
      <c r="D99" s="626"/>
      <c r="E99" s="627"/>
      <c r="F99" s="627"/>
      <c r="G99" s="626"/>
      <c r="H99" s="626"/>
      <c r="I99" s="626"/>
      <c r="J99" s="628">
        <v>0</v>
      </c>
      <c r="K99" s="26"/>
      <c r="L99" s="53"/>
      <c r="M99" s="65"/>
      <c r="N99" s="65"/>
      <c r="O99" s="69"/>
      <c r="P99" s="357"/>
      <c r="Q99" s="57"/>
      <c r="R99" s="16">
        <f t="shared" si="4"/>
        <v>0</v>
      </c>
      <c r="S99" s="57"/>
    </row>
    <row r="100" spans="1:19" s="2" customFormat="1" ht="12.75" customHeight="1" hidden="1">
      <c r="A100" s="124"/>
      <c r="B100" s="584" t="s">
        <v>285</v>
      </c>
      <c r="C100" s="581"/>
      <c r="D100" s="582"/>
      <c r="E100" s="594"/>
      <c r="F100" s="594"/>
      <c r="G100" s="582">
        <v>90000</v>
      </c>
      <c r="H100" s="620"/>
      <c r="I100" s="622"/>
      <c r="J100" s="615"/>
      <c r="K100" s="26"/>
      <c r="L100" s="53"/>
      <c r="M100" s="65"/>
      <c r="N100" s="65"/>
      <c r="O100" s="69"/>
      <c r="P100" s="357"/>
      <c r="Q100" s="57"/>
      <c r="R100" s="16">
        <f t="shared" si="4"/>
        <v>0</v>
      </c>
      <c r="S100" s="57"/>
    </row>
    <row r="101" spans="1:19" s="2" customFormat="1" ht="12.75" customHeight="1">
      <c r="A101" s="124"/>
      <c r="B101" s="584" t="s">
        <v>319</v>
      </c>
      <c r="C101" s="581"/>
      <c r="D101" s="582"/>
      <c r="E101" s="594"/>
      <c r="F101" s="594"/>
      <c r="G101" s="582">
        <v>50000</v>
      </c>
      <c r="H101" s="582">
        <v>10000</v>
      </c>
      <c r="I101" s="587">
        <v>22000</v>
      </c>
      <c r="J101" s="608">
        <v>50000</v>
      </c>
      <c r="K101" s="26"/>
      <c r="L101" s="53"/>
      <c r="M101" s="65"/>
      <c r="N101" s="65"/>
      <c r="O101" s="69"/>
      <c r="P101" s="357"/>
      <c r="Q101" s="57"/>
      <c r="R101" s="16">
        <f t="shared" si="4"/>
        <v>50000</v>
      </c>
      <c r="S101" s="57"/>
    </row>
    <row r="102" spans="1:19" s="2" customFormat="1" ht="12.75" customHeight="1">
      <c r="A102" s="124"/>
      <c r="B102" s="625" t="s">
        <v>326</v>
      </c>
      <c r="C102" s="624"/>
      <c r="D102" s="626"/>
      <c r="E102" s="627"/>
      <c r="F102" s="627"/>
      <c r="G102" s="626"/>
      <c r="H102" s="626"/>
      <c r="I102" s="626"/>
      <c r="J102" s="628">
        <v>20000</v>
      </c>
      <c r="K102" s="26"/>
      <c r="L102" s="53"/>
      <c r="M102" s="65"/>
      <c r="N102" s="65"/>
      <c r="O102" s="69"/>
      <c r="P102" s="357"/>
      <c r="Q102" s="57"/>
      <c r="R102" s="16">
        <f t="shared" si="4"/>
        <v>20000</v>
      </c>
      <c r="S102" s="57"/>
    </row>
    <row r="103" spans="1:19" s="2" customFormat="1" ht="12.75" customHeight="1">
      <c r="A103" s="124"/>
      <c r="B103" s="625" t="s">
        <v>328</v>
      </c>
      <c r="C103" s="624"/>
      <c r="D103" s="626"/>
      <c r="E103" s="627"/>
      <c r="F103" s="627"/>
      <c r="G103" s="626"/>
      <c r="H103" s="626"/>
      <c r="I103" s="626"/>
      <c r="J103" s="628">
        <v>10000</v>
      </c>
      <c r="K103" s="4"/>
      <c r="L103" s="53"/>
      <c r="M103" s="65"/>
      <c r="N103" s="65"/>
      <c r="O103" s="69"/>
      <c r="P103" s="357"/>
      <c r="Q103" s="57"/>
      <c r="R103" s="16">
        <f t="shared" si="4"/>
        <v>10000</v>
      </c>
      <c r="S103" s="57"/>
    </row>
    <row r="104" spans="1:19" s="2" customFormat="1" ht="12.75" customHeight="1">
      <c r="A104" s="124"/>
      <c r="B104" s="691" t="s">
        <v>365</v>
      </c>
      <c r="C104" s="624"/>
      <c r="D104" s="626"/>
      <c r="E104" s="627"/>
      <c r="F104" s="627"/>
      <c r="G104" s="626"/>
      <c r="H104" s="626"/>
      <c r="I104" s="626"/>
      <c r="J104" s="628">
        <v>50000</v>
      </c>
      <c r="K104" s="4"/>
      <c r="L104" s="53"/>
      <c r="M104" s="65"/>
      <c r="N104" s="65"/>
      <c r="O104" s="69"/>
      <c r="P104" s="357"/>
      <c r="Q104" s="57"/>
      <c r="R104" s="16">
        <f t="shared" si="4"/>
        <v>50000</v>
      </c>
      <c r="S104" s="57"/>
    </row>
    <row r="105" spans="1:19" s="2" customFormat="1" ht="12.75" customHeight="1">
      <c r="A105" s="124"/>
      <c r="B105" s="691" t="s">
        <v>364</v>
      </c>
      <c r="C105" s="624"/>
      <c r="D105" s="626"/>
      <c r="E105" s="627"/>
      <c r="F105" s="627"/>
      <c r="G105" s="626"/>
      <c r="H105" s="626"/>
      <c r="I105" s="626"/>
      <c r="J105" s="628">
        <v>50000</v>
      </c>
      <c r="K105" s="4"/>
      <c r="L105" s="53"/>
      <c r="M105" s="65"/>
      <c r="N105" s="65"/>
      <c r="O105" s="69"/>
      <c r="P105" s="357"/>
      <c r="Q105" s="57"/>
      <c r="R105" s="16">
        <f t="shared" si="4"/>
        <v>50000</v>
      </c>
      <c r="S105" s="57"/>
    </row>
    <row r="106" spans="1:19" s="2" customFormat="1" ht="12.75" customHeight="1" thickBot="1">
      <c r="A106" s="124"/>
      <c r="B106" s="579" t="s">
        <v>323</v>
      </c>
      <c r="C106" s="576"/>
      <c r="D106" s="577">
        <f>130000+90000+30000+100000+57000+393700+15000</f>
        <v>815700</v>
      </c>
      <c r="E106" s="578"/>
      <c r="F106" s="578">
        <v>155382</v>
      </c>
      <c r="G106" s="577"/>
      <c r="H106" s="577"/>
      <c r="I106" s="406">
        <v>70420</v>
      </c>
      <c r="J106" s="602">
        <v>0</v>
      </c>
      <c r="K106" s="26"/>
      <c r="L106" s="53"/>
      <c r="M106" s="65"/>
      <c r="N106" s="65"/>
      <c r="O106" s="69"/>
      <c r="P106" s="357"/>
      <c r="Q106" s="57"/>
      <c r="R106" s="16"/>
      <c r="S106" s="57"/>
    </row>
    <row r="107" spans="1:19" s="2" customFormat="1" ht="12.75" customHeight="1" hidden="1">
      <c r="A107" s="124"/>
      <c r="B107" s="579"/>
      <c r="C107" s="576"/>
      <c r="D107" s="577"/>
      <c r="E107" s="578"/>
      <c r="F107" s="578"/>
      <c r="G107" s="577"/>
      <c r="H107" s="577"/>
      <c r="I107" s="398"/>
      <c r="J107" s="602"/>
      <c r="K107" s="26"/>
      <c r="L107" s="53"/>
      <c r="M107" s="65"/>
      <c r="N107" s="65"/>
      <c r="O107" s="69"/>
      <c r="P107" s="357"/>
      <c r="Q107" s="57"/>
      <c r="R107" s="16"/>
      <c r="S107" s="57"/>
    </row>
    <row r="108" spans="1:19" s="2" customFormat="1" ht="12.75" customHeight="1" hidden="1">
      <c r="A108" s="124"/>
      <c r="B108" s="579"/>
      <c r="C108" s="429"/>
      <c r="D108" s="406"/>
      <c r="E108" s="441"/>
      <c r="F108" s="441"/>
      <c r="G108" s="406"/>
      <c r="H108" s="406"/>
      <c r="I108" s="406"/>
      <c r="J108" s="602"/>
      <c r="K108" s="26"/>
      <c r="L108" s="53"/>
      <c r="M108" s="65"/>
      <c r="N108" s="65"/>
      <c r="O108" s="69"/>
      <c r="P108" s="357"/>
      <c r="Q108" s="57"/>
      <c r="R108" s="16"/>
      <c r="S108" s="57"/>
    </row>
    <row r="109" spans="1:19" s="2" customFormat="1" ht="12.75" customHeight="1" hidden="1">
      <c r="A109" s="124"/>
      <c r="B109" s="579"/>
      <c r="C109" s="429"/>
      <c r="D109" s="406"/>
      <c r="E109" s="441"/>
      <c r="F109" s="441"/>
      <c r="G109" s="406"/>
      <c r="H109" s="406"/>
      <c r="I109" s="406"/>
      <c r="J109" s="602"/>
      <c r="K109" s="26"/>
      <c r="L109" s="53"/>
      <c r="M109" s="65"/>
      <c r="N109" s="65"/>
      <c r="O109" s="69"/>
      <c r="P109" s="357"/>
      <c r="Q109" s="57"/>
      <c r="R109" s="16"/>
      <c r="S109" s="57"/>
    </row>
    <row r="110" spans="1:19" s="2" customFormat="1" ht="12.75" customHeight="1" hidden="1">
      <c r="A110" s="124"/>
      <c r="B110" s="579"/>
      <c r="C110" s="429"/>
      <c r="D110" s="406"/>
      <c r="E110" s="441"/>
      <c r="F110" s="441"/>
      <c r="G110" s="406"/>
      <c r="H110" s="406"/>
      <c r="I110" s="406"/>
      <c r="J110" s="602"/>
      <c r="K110" s="26"/>
      <c r="L110" s="53"/>
      <c r="M110" s="65"/>
      <c r="N110" s="65"/>
      <c r="O110" s="69"/>
      <c r="P110" s="357"/>
      <c r="Q110" s="57"/>
      <c r="R110" s="16"/>
      <c r="S110" s="57"/>
    </row>
    <row r="111" spans="1:19" s="108" customFormat="1" ht="12.75" customHeight="1" hidden="1">
      <c r="A111" s="284"/>
      <c r="B111" s="678" t="s">
        <v>53</v>
      </c>
      <c r="C111" s="679">
        <v>68000</v>
      </c>
      <c r="D111" s="680">
        <v>68067</v>
      </c>
      <c r="E111" s="681">
        <v>68000</v>
      </c>
      <c r="F111" s="681"/>
      <c r="G111" s="680"/>
      <c r="H111" s="680"/>
      <c r="I111" s="680"/>
      <c r="J111" s="682"/>
      <c r="K111" s="26"/>
      <c r="L111" s="53"/>
      <c r="M111" s="81"/>
      <c r="N111" s="81"/>
      <c r="O111" s="70"/>
      <c r="P111" s="394"/>
      <c r="Q111" s="57"/>
      <c r="R111" s="16"/>
      <c r="S111" s="57"/>
    </row>
    <row r="112" spans="1:19" s="11" customFormat="1" ht="14.25" thickBot="1">
      <c r="A112" s="124"/>
      <c r="B112" s="460" t="s">
        <v>13</v>
      </c>
      <c r="C112" s="683">
        <f aca="true" t="shared" si="5" ref="C112:J112">SUM(C61:C111)</f>
        <v>12493975</v>
      </c>
      <c r="D112" s="360">
        <f t="shared" si="5"/>
        <v>12314901</v>
      </c>
      <c r="E112" s="684">
        <f t="shared" si="5"/>
        <v>12888766</v>
      </c>
      <c r="F112" s="684">
        <f t="shared" si="5"/>
        <v>12988703</v>
      </c>
      <c r="G112" s="360">
        <f t="shared" si="5"/>
        <v>13719257</v>
      </c>
      <c r="H112" s="360">
        <f t="shared" si="5"/>
        <v>5064711</v>
      </c>
      <c r="I112" s="360">
        <f t="shared" si="5"/>
        <v>6325994</v>
      </c>
      <c r="J112" s="360">
        <f t="shared" si="5"/>
        <v>14081624</v>
      </c>
      <c r="K112" s="433"/>
      <c r="L112" s="433"/>
      <c r="M112" s="685"/>
      <c r="N112" s="685"/>
      <c r="O112" s="686"/>
      <c r="P112" s="687"/>
      <c r="Q112" s="52"/>
      <c r="R112" s="501">
        <f>SUM(R67:R111)</f>
        <v>2360000</v>
      </c>
      <c r="S112" s="134"/>
    </row>
    <row r="113" spans="1:19" s="11" customFormat="1" ht="9" customHeight="1" thickBot="1">
      <c r="A113" s="124"/>
      <c r="B113" s="327"/>
      <c r="C113" s="366"/>
      <c r="D113" s="367"/>
      <c r="E113" s="5"/>
      <c r="F113" s="5"/>
      <c r="G113" s="367"/>
      <c r="H113" s="367"/>
      <c r="I113" s="367"/>
      <c r="J113" s="609"/>
      <c r="K113" s="56"/>
      <c r="L113" s="56"/>
      <c r="M113" s="82"/>
      <c r="N113" s="82"/>
      <c r="O113" s="83"/>
      <c r="P113" s="124"/>
      <c r="Q113" s="52"/>
      <c r="R113" s="16"/>
      <c r="S113" s="134"/>
    </row>
    <row r="114" spans="1:19" s="11" customFormat="1" ht="15" thickBot="1" thickTop="1">
      <c r="A114" s="124"/>
      <c r="B114" s="340" t="s">
        <v>167</v>
      </c>
      <c r="C114" s="341"/>
      <c r="D114" s="343">
        <f aca="true" t="shared" si="6" ref="D114:J114">D112-D58</f>
        <v>-154646</v>
      </c>
      <c r="E114" s="343">
        <f t="shared" si="6"/>
        <v>0</v>
      </c>
      <c r="F114" s="343">
        <f t="shared" si="6"/>
        <v>25684</v>
      </c>
      <c r="G114" s="343">
        <f t="shared" si="6"/>
        <v>0</v>
      </c>
      <c r="H114" s="343">
        <f t="shared" si="6"/>
        <v>-171073</v>
      </c>
      <c r="I114" s="343">
        <f t="shared" si="6"/>
        <v>80293</v>
      </c>
      <c r="J114" s="610">
        <f t="shared" si="6"/>
        <v>0</v>
      </c>
      <c r="K114" s="56"/>
      <c r="L114" s="56"/>
      <c r="M114" s="82"/>
      <c r="N114" s="82"/>
      <c r="O114" s="83"/>
      <c r="P114" s="124"/>
      <c r="Q114" s="52"/>
      <c r="R114" s="16"/>
      <c r="S114" s="134"/>
    </row>
    <row r="115" spans="2:19" ht="8.25" customHeight="1" thickTop="1">
      <c r="B115" s="67"/>
      <c r="C115" s="67"/>
      <c r="D115" s="67"/>
      <c r="E115" s="67"/>
      <c r="F115" s="67"/>
      <c r="G115" s="368"/>
      <c r="H115" s="368"/>
      <c r="I115" s="368"/>
      <c r="R115" s="28"/>
      <c r="S115" s="134"/>
    </row>
    <row r="116" spans="2:19" ht="18" thickBot="1">
      <c r="B116" s="874" t="s">
        <v>14</v>
      </c>
      <c r="C116" s="874"/>
      <c r="D116" s="874"/>
      <c r="E116" s="874"/>
      <c r="F116" s="874"/>
      <c r="G116" s="874"/>
      <c r="H116" s="874"/>
      <c r="I116" s="874"/>
      <c r="J116" s="874"/>
      <c r="K116" s="874"/>
      <c r="L116" s="874"/>
      <c r="R116" s="29"/>
      <c r="S116" s="134"/>
    </row>
    <row r="117" spans="2:19" ht="15">
      <c r="B117" s="454" t="s">
        <v>0</v>
      </c>
      <c r="C117" s="93" t="s">
        <v>299</v>
      </c>
      <c r="D117" s="350" t="s">
        <v>137</v>
      </c>
      <c r="E117" s="93" t="s">
        <v>299</v>
      </c>
      <c r="F117" s="350" t="s">
        <v>137</v>
      </c>
      <c r="G117" s="93" t="s">
        <v>299</v>
      </c>
      <c r="H117" s="350" t="s">
        <v>338</v>
      </c>
      <c r="I117" s="350" t="s">
        <v>338</v>
      </c>
      <c r="J117" s="598" t="s">
        <v>165</v>
      </c>
      <c r="K117" s="9"/>
      <c r="L117" s="36"/>
      <c r="M117" s="1"/>
      <c r="N117" s="1"/>
      <c r="O117" s="41"/>
      <c r="P117" s="351" t="s">
        <v>136</v>
      </c>
      <c r="R117" s="135"/>
      <c r="S117" s="134"/>
    </row>
    <row r="118" spans="2:21" ht="15.75" thickBot="1">
      <c r="B118" s="455"/>
      <c r="C118" s="539">
        <v>2015</v>
      </c>
      <c r="D118" s="353">
        <v>2015</v>
      </c>
      <c r="E118" s="540">
        <v>2016</v>
      </c>
      <c r="F118" s="540">
        <v>2016</v>
      </c>
      <c r="G118" s="353">
        <v>2017</v>
      </c>
      <c r="H118" s="418" t="s">
        <v>339</v>
      </c>
      <c r="I118" s="418" t="s">
        <v>359</v>
      </c>
      <c r="J118" s="599" t="s">
        <v>300</v>
      </c>
      <c r="K118" s="9"/>
      <c r="L118" s="36"/>
      <c r="M118" s="1"/>
      <c r="N118" s="1"/>
      <c r="O118" s="41"/>
      <c r="P118" s="355"/>
      <c r="R118" s="29"/>
      <c r="S118" s="134"/>
      <c r="T118" s="29"/>
      <c r="U118" s="29"/>
    </row>
    <row r="119" spans="1:21" s="2" customFormat="1" ht="12.75" customHeight="1">
      <c r="A119" s="124"/>
      <c r="B119" s="456" t="s">
        <v>322</v>
      </c>
      <c r="C119" s="452">
        <v>169000</v>
      </c>
      <c r="D119" s="437">
        <v>42335</v>
      </c>
      <c r="E119" s="448">
        <v>50000</v>
      </c>
      <c r="F119" s="448">
        <v>40506</v>
      </c>
      <c r="G119" s="437">
        <v>47100</v>
      </c>
      <c r="H119" s="437">
        <v>27252</v>
      </c>
      <c r="I119" s="437">
        <v>13552</v>
      </c>
      <c r="J119" s="605">
        <v>45000</v>
      </c>
      <c r="K119" s="4"/>
      <c r="L119" s="30"/>
      <c r="P119" s="356"/>
      <c r="R119" s="70"/>
      <c r="S119" s="134"/>
      <c r="T119" s="70"/>
      <c r="U119" s="70"/>
    </row>
    <row r="120" spans="1:21" s="2" customFormat="1" ht="12.75" customHeight="1">
      <c r="A120" s="124"/>
      <c r="B120" s="457" t="s">
        <v>314</v>
      </c>
      <c r="C120" s="430"/>
      <c r="D120" s="398">
        <v>20088</v>
      </c>
      <c r="E120" s="397">
        <v>11000</v>
      </c>
      <c r="F120" s="397">
        <v>17147</v>
      </c>
      <c r="G120" s="398">
        <v>17300</v>
      </c>
      <c r="H120" s="398">
        <v>7095</v>
      </c>
      <c r="I120" s="398">
        <v>9915</v>
      </c>
      <c r="J120" s="602">
        <v>18000</v>
      </c>
      <c r="K120" s="4"/>
      <c r="L120" s="30"/>
      <c r="P120" s="357"/>
      <c r="R120" s="70"/>
      <c r="S120" s="134"/>
      <c r="T120" s="70"/>
      <c r="U120" s="70"/>
    </row>
    <row r="121" spans="1:21" s="2" customFormat="1" ht="12.75" customHeight="1">
      <c r="A121" s="124"/>
      <c r="B121" s="457" t="s">
        <v>313</v>
      </c>
      <c r="C121" s="430"/>
      <c r="D121" s="398">
        <v>88894</v>
      </c>
      <c r="E121" s="397">
        <v>108000</v>
      </c>
      <c r="F121" s="397">
        <v>93886</v>
      </c>
      <c r="G121" s="398">
        <v>113300</v>
      </c>
      <c r="H121" s="398">
        <v>49601</v>
      </c>
      <c r="I121" s="398">
        <v>50557</v>
      </c>
      <c r="J121" s="602">
        <v>115000</v>
      </c>
      <c r="K121" s="4"/>
      <c r="L121" s="30"/>
      <c r="P121" s="358"/>
      <c r="R121" s="70"/>
      <c r="S121" s="134"/>
      <c r="T121" s="70"/>
      <c r="U121" s="70"/>
    </row>
    <row r="122" spans="1:21" s="2" customFormat="1" ht="12.75" customHeight="1">
      <c r="A122" s="124"/>
      <c r="B122" s="458" t="s">
        <v>1</v>
      </c>
      <c r="C122" s="430">
        <v>25000</v>
      </c>
      <c r="D122" s="398">
        <v>0</v>
      </c>
      <c r="E122" s="595">
        <f>C122</f>
        <v>25000</v>
      </c>
      <c r="F122" s="595">
        <v>960</v>
      </c>
      <c r="G122" s="398">
        <v>20000</v>
      </c>
      <c r="H122" s="398">
        <v>0</v>
      </c>
      <c r="I122" s="398"/>
      <c r="J122" s="602">
        <f>20000-5000</f>
        <v>15000</v>
      </c>
      <c r="K122" s="4"/>
      <c r="L122" s="30"/>
      <c r="P122" s="357"/>
      <c r="R122" s="70"/>
      <c r="S122" s="134"/>
      <c r="T122" s="70"/>
      <c r="U122" s="70"/>
    </row>
    <row r="123" spans="1:21" s="2" customFormat="1" ht="12.75" customHeight="1" hidden="1">
      <c r="A123" s="124"/>
      <c r="B123" s="458" t="s">
        <v>197</v>
      </c>
      <c r="C123" s="430"/>
      <c r="D123" s="398">
        <v>5857</v>
      </c>
      <c r="E123" s="595">
        <v>197957</v>
      </c>
      <c r="F123" s="595">
        <v>197957</v>
      </c>
      <c r="G123" s="398"/>
      <c r="H123" s="398"/>
      <c r="I123" s="399"/>
      <c r="J123" s="602"/>
      <c r="K123" s="4"/>
      <c r="L123" s="30"/>
      <c r="P123" s="357"/>
      <c r="R123" s="70"/>
      <c r="S123" s="134"/>
      <c r="T123" s="70"/>
      <c r="U123" s="70"/>
    </row>
    <row r="124" spans="1:21" s="2" customFormat="1" ht="12.75" customHeight="1">
      <c r="A124" s="124"/>
      <c r="B124" s="458" t="s">
        <v>198</v>
      </c>
      <c r="C124" s="430"/>
      <c r="D124" s="398"/>
      <c r="E124" s="595"/>
      <c r="F124" s="595">
        <v>12364</v>
      </c>
      <c r="G124" s="398">
        <v>24960</v>
      </c>
      <c r="H124" s="398">
        <v>10358</v>
      </c>
      <c r="I124" s="399">
        <v>12402</v>
      </c>
      <c r="J124" s="602">
        <f>3275+1194+1943+1429+593+589+589+589+589+589+589+589+589+589+589+589+589+248+124+454+454+454+454+556+556+184+184+539+108+120+2011+311+311+311+311+311+311+311+311+311+19</f>
        <v>24766</v>
      </c>
      <c r="K124" s="4"/>
      <c r="L124" s="30"/>
      <c r="P124" s="357"/>
      <c r="R124" s="70"/>
      <c r="S124" s="134"/>
      <c r="T124" s="70"/>
      <c r="U124" s="70"/>
    </row>
    <row r="125" spans="1:21" s="2" customFormat="1" ht="12.75" customHeight="1">
      <c r="A125" s="124"/>
      <c r="B125" s="458" t="s">
        <v>8</v>
      </c>
      <c r="C125" s="430">
        <v>6000</v>
      </c>
      <c r="D125" s="398">
        <v>25</v>
      </c>
      <c r="E125" s="595">
        <f>C125</f>
        <v>6000</v>
      </c>
      <c r="F125" s="595">
        <v>17800</v>
      </c>
      <c r="G125" s="398">
        <v>6200</v>
      </c>
      <c r="H125" s="398">
        <v>3011</v>
      </c>
      <c r="I125" s="398">
        <v>3011</v>
      </c>
      <c r="J125" s="602">
        <v>7000</v>
      </c>
      <c r="K125" s="4"/>
      <c r="L125" s="26"/>
      <c r="P125" s="357"/>
      <c r="R125" s="70"/>
      <c r="S125" s="134"/>
      <c r="T125" s="70"/>
      <c r="U125" s="70"/>
    </row>
    <row r="126" spans="1:21" s="2" customFormat="1" ht="12.75" customHeight="1">
      <c r="A126" s="124"/>
      <c r="B126" s="458" t="s">
        <v>16</v>
      </c>
      <c r="C126" s="430">
        <v>95000</v>
      </c>
      <c r="D126" s="398">
        <v>56433</v>
      </c>
      <c r="E126" s="595">
        <v>235800</v>
      </c>
      <c r="F126" s="595">
        <v>205254</v>
      </c>
      <c r="G126" s="398">
        <v>280000</v>
      </c>
      <c r="H126" s="398">
        <v>34311</v>
      </c>
      <c r="I126" s="398">
        <v>35590</v>
      </c>
      <c r="J126" s="602">
        <v>100000</v>
      </c>
      <c r="K126" s="4"/>
      <c r="L126" s="30"/>
      <c r="P126" s="357"/>
      <c r="R126" s="70"/>
      <c r="S126" s="134"/>
      <c r="T126" s="70"/>
      <c r="U126" s="70"/>
    </row>
    <row r="127" spans="1:21" s="2" customFormat="1" ht="12.75" customHeight="1" thickBot="1">
      <c r="A127" s="124"/>
      <c r="B127" s="549" t="s">
        <v>10</v>
      </c>
      <c r="C127" s="550">
        <v>319340</v>
      </c>
      <c r="D127" s="551">
        <v>287854</v>
      </c>
      <c r="E127" s="552">
        <v>319826</v>
      </c>
      <c r="F127" s="552">
        <v>298092</v>
      </c>
      <c r="G127" s="551">
        <v>442295</v>
      </c>
      <c r="H127" s="551">
        <v>143190</v>
      </c>
      <c r="I127" s="551">
        <v>180034</v>
      </c>
      <c r="J127" s="612">
        <v>590481</v>
      </c>
      <c r="K127" s="4"/>
      <c r="L127" s="30"/>
      <c r="P127" s="359"/>
      <c r="Q127" s="70"/>
      <c r="R127" s="70"/>
      <c r="S127" s="500"/>
      <c r="T127" s="70"/>
      <c r="U127" s="70"/>
    </row>
    <row r="128" spans="1:21" s="11" customFormat="1" ht="14.25" thickBot="1">
      <c r="A128" s="124"/>
      <c r="B128" s="460" t="s">
        <v>2</v>
      </c>
      <c r="C128" s="373">
        <f aca="true" t="shared" si="7" ref="C128:J128">SUM(C119:C127)</f>
        <v>614340</v>
      </c>
      <c r="D128" s="360">
        <f t="shared" si="7"/>
        <v>501486</v>
      </c>
      <c r="E128" s="371">
        <f t="shared" si="7"/>
        <v>953583</v>
      </c>
      <c r="F128" s="371">
        <f t="shared" si="7"/>
        <v>883966</v>
      </c>
      <c r="G128" s="360">
        <f t="shared" si="7"/>
        <v>951155</v>
      </c>
      <c r="H128" s="360">
        <f t="shared" si="7"/>
        <v>274818</v>
      </c>
      <c r="I128" s="372">
        <f t="shared" si="7"/>
        <v>305061</v>
      </c>
      <c r="J128" s="384">
        <f t="shared" si="7"/>
        <v>915247</v>
      </c>
      <c r="K128" s="56"/>
      <c r="L128" s="35"/>
      <c r="P128" s="124"/>
      <c r="Q128" s="16"/>
      <c r="R128" s="52"/>
      <c r="S128" s="500"/>
      <c r="T128" s="52"/>
      <c r="U128" s="52"/>
    </row>
    <row r="129" spans="2:21" ht="15.75" thickBot="1">
      <c r="B129" s="3"/>
      <c r="C129" s="17"/>
      <c r="D129" s="17"/>
      <c r="E129" s="22"/>
      <c r="F129" s="22"/>
      <c r="G129" s="362"/>
      <c r="H129" s="362"/>
      <c r="I129" s="362"/>
      <c r="J129" s="348"/>
      <c r="K129" s="15"/>
      <c r="L129" s="18"/>
      <c r="Q129" s="16"/>
      <c r="R129" s="29"/>
      <c r="T129" s="29"/>
      <c r="U129" s="29"/>
    </row>
    <row r="130" spans="2:21" ht="16.5" thickBot="1">
      <c r="B130" s="89" t="s">
        <v>3</v>
      </c>
      <c r="C130" s="17"/>
      <c r="D130" s="17"/>
      <c r="E130" s="22"/>
      <c r="F130" s="22"/>
      <c r="G130" s="362"/>
      <c r="H130" s="362"/>
      <c r="I130" s="362"/>
      <c r="J130" s="609"/>
      <c r="K130" s="32"/>
      <c r="L130" s="18"/>
      <c r="Q130" s="16"/>
      <c r="R130" s="29"/>
      <c r="T130" s="29"/>
      <c r="U130" s="29"/>
    </row>
    <row r="131" spans="2:21" ht="12.75" customHeight="1">
      <c r="B131" s="642" t="s">
        <v>11</v>
      </c>
      <c r="C131" s="452">
        <v>21000</v>
      </c>
      <c r="D131" s="437">
        <v>68390</v>
      </c>
      <c r="E131" s="448">
        <f>C131</f>
        <v>21000</v>
      </c>
      <c r="F131" s="448">
        <v>63713</v>
      </c>
      <c r="G131" s="437">
        <v>25000</v>
      </c>
      <c r="H131" s="437">
        <v>10525</v>
      </c>
      <c r="I131" s="437">
        <v>11115</v>
      </c>
      <c r="J131" s="605">
        <v>40000</v>
      </c>
      <c r="K131" s="30"/>
      <c r="L131" s="30"/>
      <c r="P131" s="356"/>
      <c r="Q131" s="16"/>
      <c r="R131" s="29"/>
      <c r="T131" s="29"/>
      <c r="U131" s="29"/>
    </row>
    <row r="132" spans="2:21" ht="12.75" customHeight="1" hidden="1">
      <c r="B132" s="643" t="s">
        <v>199</v>
      </c>
      <c r="C132" s="430"/>
      <c r="D132" s="398"/>
      <c r="E132" s="397"/>
      <c r="F132" s="397"/>
      <c r="G132" s="398"/>
      <c r="H132" s="398"/>
      <c r="I132" s="399"/>
      <c r="J132" s="602"/>
      <c r="K132" s="30"/>
      <c r="L132" s="30"/>
      <c r="P132" s="357"/>
      <c r="Q132" s="16"/>
      <c r="R132" s="29"/>
      <c r="T132" s="29"/>
      <c r="U132" s="29"/>
    </row>
    <row r="133" spans="2:21" ht="12.75" customHeight="1" hidden="1">
      <c r="B133" s="643" t="s">
        <v>200</v>
      </c>
      <c r="C133" s="430"/>
      <c r="D133" s="398"/>
      <c r="E133" s="595">
        <v>197957</v>
      </c>
      <c r="F133" s="595">
        <v>197957</v>
      </c>
      <c r="G133" s="398"/>
      <c r="H133" s="398"/>
      <c r="I133" s="399"/>
      <c r="J133" s="602"/>
      <c r="K133" s="30"/>
      <c r="L133" s="30"/>
      <c r="P133" s="357"/>
      <c r="Q133" s="16"/>
      <c r="R133" s="29"/>
      <c r="T133" s="29"/>
      <c r="U133" s="29"/>
    </row>
    <row r="134" spans="2:21" ht="14.25" thickBot="1">
      <c r="B134" s="553" t="s">
        <v>4</v>
      </c>
      <c r="C134" s="554">
        <v>593340</v>
      </c>
      <c r="D134" s="555">
        <v>566000</v>
      </c>
      <c r="E134" s="556">
        <f>C134+486+140800</f>
        <v>734626</v>
      </c>
      <c r="F134" s="556">
        <v>734626</v>
      </c>
      <c r="G134" s="555">
        <v>926155</v>
      </c>
      <c r="H134" s="555">
        <v>380595</v>
      </c>
      <c r="I134" s="555">
        <v>456714</v>
      </c>
      <c r="J134" s="613">
        <v>875247</v>
      </c>
      <c r="K134" s="54"/>
      <c r="L134" s="72"/>
      <c r="P134" s="359"/>
      <c r="Q134" s="28"/>
      <c r="R134" s="29"/>
      <c r="T134" s="29"/>
      <c r="U134" s="29"/>
    </row>
    <row r="135" spans="1:21" s="11" customFormat="1" ht="14.25" thickBot="1">
      <c r="A135" s="124"/>
      <c r="B135" s="460" t="s">
        <v>5</v>
      </c>
      <c r="C135" s="373">
        <f aca="true" t="shared" si="8" ref="C135:J135">SUM(C131:C134)</f>
        <v>614340</v>
      </c>
      <c r="D135" s="360">
        <f t="shared" si="8"/>
        <v>634390</v>
      </c>
      <c r="E135" s="371">
        <f t="shared" si="8"/>
        <v>953583</v>
      </c>
      <c r="F135" s="371">
        <f t="shared" si="8"/>
        <v>996296</v>
      </c>
      <c r="G135" s="360">
        <f t="shared" si="8"/>
        <v>951155</v>
      </c>
      <c r="H135" s="360">
        <f t="shared" si="8"/>
        <v>391120</v>
      </c>
      <c r="I135" s="372">
        <f t="shared" si="8"/>
        <v>467829</v>
      </c>
      <c r="J135" s="384">
        <f t="shared" si="8"/>
        <v>915247</v>
      </c>
      <c r="K135" s="35"/>
      <c r="L135" s="56"/>
      <c r="P135" s="124"/>
      <c r="Q135" s="16"/>
      <c r="R135" s="52"/>
      <c r="S135" s="500"/>
      <c r="T135" s="52"/>
      <c r="U135" s="52"/>
    </row>
    <row r="136" spans="2:21" ht="7.5" customHeight="1" thickBot="1">
      <c r="B136" s="20"/>
      <c r="D136" s="362"/>
      <c r="G136" s="362"/>
      <c r="H136" s="362"/>
      <c r="I136" s="362"/>
      <c r="Q136" s="16"/>
      <c r="R136" s="29"/>
      <c r="T136" s="29"/>
      <c r="U136" s="29"/>
    </row>
    <row r="137" spans="2:21" ht="15" thickBot="1" thickTop="1">
      <c r="B137" s="340" t="s">
        <v>168</v>
      </c>
      <c r="C137" s="341"/>
      <c r="D137" s="343">
        <f aca="true" t="shared" si="9" ref="D137:J137">D135-D128</f>
        <v>132904</v>
      </c>
      <c r="E137" s="343">
        <f t="shared" si="9"/>
        <v>0</v>
      </c>
      <c r="F137" s="343">
        <f t="shared" si="9"/>
        <v>112330</v>
      </c>
      <c r="G137" s="343">
        <f t="shared" si="9"/>
        <v>0</v>
      </c>
      <c r="H137" s="343">
        <f t="shared" si="9"/>
        <v>116302</v>
      </c>
      <c r="I137" s="343">
        <f t="shared" si="9"/>
        <v>162768</v>
      </c>
      <c r="J137" s="610">
        <f t="shared" si="9"/>
        <v>0</v>
      </c>
      <c r="Q137" s="16"/>
      <c r="R137" s="29"/>
      <c r="T137" s="29"/>
      <c r="U137" s="29"/>
    </row>
    <row r="138" spans="2:21" ht="14.25" thickTop="1">
      <c r="B138" s="20"/>
      <c r="G138" s="362"/>
      <c r="H138" s="362"/>
      <c r="I138" s="362"/>
      <c r="Q138" s="16"/>
      <c r="R138" s="29"/>
      <c r="T138" s="29"/>
      <c r="U138" s="29"/>
    </row>
    <row r="139" spans="2:21" ht="18" thickBot="1">
      <c r="B139" s="875" t="s">
        <v>15</v>
      </c>
      <c r="C139" s="875"/>
      <c r="D139" s="875"/>
      <c r="E139" s="875"/>
      <c r="F139" s="875"/>
      <c r="G139" s="875"/>
      <c r="H139" s="875"/>
      <c r="I139" s="875"/>
      <c r="J139" s="875"/>
      <c r="K139" s="875"/>
      <c r="L139" s="875"/>
      <c r="M139" s="875"/>
      <c r="N139" s="875"/>
      <c r="O139" s="875"/>
      <c r="Q139" s="16"/>
      <c r="R139" s="29"/>
      <c r="T139" s="29"/>
      <c r="U139" s="29"/>
    </row>
    <row r="140" spans="2:21" ht="15">
      <c r="B140" s="454" t="s">
        <v>0</v>
      </c>
      <c r="C140" s="93" t="s">
        <v>299</v>
      </c>
      <c r="D140" s="350" t="s">
        <v>137</v>
      </c>
      <c r="E140" s="93" t="s">
        <v>299</v>
      </c>
      <c r="F140" s="350" t="s">
        <v>137</v>
      </c>
      <c r="G140" s="93" t="s">
        <v>299</v>
      </c>
      <c r="H140" s="350" t="s">
        <v>338</v>
      </c>
      <c r="I140" s="350" t="s">
        <v>338</v>
      </c>
      <c r="J140" s="598" t="s">
        <v>165</v>
      </c>
      <c r="K140" s="9"/>
      <c r="L140" s="36"/>
      <c r="M140" s="1"/>
      <c r="N140" s="1"/>
      <c r="O140" s="41"/>
      <c r="P140" s="351" t="s">
        <v>136</v>
      </c>
      <c r="Q140" s="16"/>
      <c r="R140" s="29"/>
      <c r="T140" s="29"/>
      <c r="U140" s="29"/>
    </row>
    <row r="141" spans="2:21" ht="15.75" thickBot="1">
      <c r="B141" s="470"/>
      <c r="C141" s="539">
        <v>2015</v>
      </c>
      <c r="D141" s="353">
        <v>2015</v>
      </c>
      <c r="E141" s="540">
        <v>2016</v>
      </c>
      <c r="F141" s="540">
        <v>2016</v>
      </c>
      <c r="G141" s="353">
        <v>2017</v>
      </c>
      <c r="H141" s="418" t="s">
        <v>339</v>
      </c>
      <c r="I141" s="418" t="s">
        <v>359</v>
      </c>
      <c r="J141" s="599" t="s">
        <v>300</v>
      </c>
      <c r="K141" s="9"/>
      <c r="L141" s="36"/>
      <c r="M141" s="1"/>
      <c r="N141" s="1"/>
      <c r="O141" s="41"/>
      <c r="P141" s="355"/>
      <c r="Q141" s="16"/>
      <c r="R141" s="29"/>
      <c r="T141" s="29"/>
      <c r="U141" s="29"/>
    </row>
    <row r="142" spans="2:21" ht="13.5">
      <c r="B142" s="471" t="s">
        <v>315</v>
      </c>
      <c r="C142" s="467">
        <v>95000</v>
      </c>
      <c r="D142" s="437">
        <v>47883</v>
      </c>
      <c r="E142" s="448">
        <v>60000</v>
      </c>
      <c r="F142" s="448">
        <v>42131</v>
      </c>
      <c r="G142" s="437">
        <v>60000</v>
      </c>
      <c r="H142" s="437">
        <v>33283</v>
      </c>
      <c r="I142" s="437">
        <v>37588</v>
      </c>
      <c r="J142" s="605">
        <v>60000</v>
      </c>
      <c r="K142" s="4"/>
      <c r="L142" s="4"/>
      <c r="M142" s="31"/>
      <c r="N142" s="31"/>
      <c r="O142" s="10"/>
      <c r="P142" s="356"/>
      <c r="Q142" s="16"/>
      <c r="R142" s="29"/>
      <c r="T142" s="29"/>
      <c r="U142" s="29"/>
    </row>
    <row r="143" spans="2:21" ht="13.5">
      <c r="B143" s="472" t="s">
        <v>314</v>
      </c>
      <c r="C143" s="468"/>
      <c r="D143" s="398">
        <v>2902</v>
      </c>
      <c r="E143" s="397">
        <v>5000</v>
      </c>
      <c r="F143" s="397">
        <v>4116</v>
      </c>
      <c r="G143" s="398">
        <v>5000</v>
      </c>
      <c r="H143" s="398">
        <v>1152</v>
      </c>
      <c r="I143" s="398">
        <v>1536</v>
      </c>
      <c r="J143" s="602">
        <v>5000</v>
      </c>
      <c r="K143" s="4"/>
      <c r="L143" s="4"/>
      <c r="M143" s="31"/>
      <c r="N143" s="31"/>
      <c r="O143" s="10"/>
      <c r="P143" s="357"/>
      <c r="Q143" s="16"/>
      <c r="R143" s="29"/>
      <c r="T143" s="29"/>
      <c r="U143" s="29"/>
    </row>
    <row r="144" spans="2:21" ht="13.5">
      <c r="B144" s="478" t="s">
        <v>313</v>
      </c>
      <c r="C144" s="479"/>
      <c r="D144" s="423">
        <v>13904</v>
      </c>
      <c r="E144" s="422">
        <v>30000</v>
      </c>
      <c r="F144" s="422">
        <v>12739</v>
      </c>
      <c r="G144" s="423">
        <v>20000</v>
      </c>
      <c r="H144" s="423">
        <v>7156</v>
      </c>
      <c r="I144" s="423">
        <v>7506</v>
      </c>
      <c r="J144" s="614">
        <v>20000</v>
      </c>
      <c r="K144" s="4"/>
      <c r="L144" s="4"/>
      <c r="M144" s="31"/>
      <c r="N144" s="31"/>
      <c r="O144" s="10"/>
      <c r="P144" s="357"/>
      <c r="Q144" s="16"/>
      <c r="R144" s="29"/>
      <c r="T144" s="29"/>
      <c r="U144" s="29"/>
    </row>
    <row r="145" spans="2:21" ht="13.5">
      <c r="B145" s="476" t="s">
        <v>1</v>
      </c>
      <c r="C145" s="477">
        <v>25000</v>
      </c>
      <c r="D145" s="411">
        <v>800</v>
      </c>
      <c r="E145" s="410">
        <f>C145</f>
        <v>25000</v>
      </c>
      <c r="F145" s="410">
        <v>1990</v>
      </c>
      <c r="G145" s="411">
        <v>10000</v>
      </c>
      <c r="H145" s="411">
        <v>0</v>
      </c>
      <c r="I145" s="411"/>
      <c r="J145" s="601">
        <f>10000-5000</f>
        <v>5000</v>
      </c>
      <c r="K145" s="4"/>
      <c r="L145" s="4"/>
      <c r="M145" s="31"/>
      <c r="N145" s="31"/>
      <c r="O145" s="10"/>
      <c r="P145" s="357"/>
      <c r="Q145" s="16"/>
      <c r="R145" s="29"/>
      <c r="T145" s="29"/>
      <c r="U145" s="29"/>
    </row>
    <row r="146" spans="2:21" ht="13.5">
      <c r="B146" s="473" t="s">
        <v>8</v>
      </c>
      <c r="C146" s="468">
        <v>36000</v>
      </c>
      <c r="D146" s="398">
        <v>39835</v>
      </c>
      <c r="E146" s="397">
        <f aca="true" t="shared" si="10" ref="E146:E153">C146</f>
        <v>36000</v>
      </c>
      <c r="F146" s="397">
        <v>80846</v>
      </c>
      <c r="G146" s="398">
        <v>50000</v>
      </c>
      <c r="H146" s="398">
        <v>5787</v>
      </c>
      <c r="I146" s="398">
        <v>6789</v>
      </c>
      <c r="J146" s="602">
        <v>50000</v>
      </c>
      <c r="K146" s="4"/>
      <c r="L146" s="4"/>
      <c r="M146" s="31"/>
      <c r="N146" s="31"/>
      <c r="O146" s="10"/>
      <c r="P146" s="357"/>
      <c r="Q146" s="16"/>
      <c r="R146" s="29"/>
      <c r="T146" s="29"/>
      <c r="U146" s="29"/>
    </row>
    <row r="147" spans="2:21" ht="13.5">
      <c r="B147" s="473" t="s">
        <v>9</v>
      </c>
      <c r="C147" s="468">
        <v>1000</v>
      </c>
      <c r="D147" s="398">
        <v>94</v>
      </c>
      <c r="E147" s="397">
        <f t="shared" si="10"/>
        <v>1000</v>
      </c>
      <c r="F147" s="397">
        <v>346</v>
      </c>
      <c r="G147" s="398">
        <v>15000</v>
      </c>
      <c r="H147" s="398">
        <v>201</v>
      </c>
      <c r="I147" s="399">
        <v>396</v>
      </c>
      <c r="J147" s="602">
        <f>15000-5000</f>
        <v>10000</v>
      </c>
      <c r="K147" s="4"/>
      <c r="L147" s="4"/>
      <c r="M147" s="31"/>
      <c r="N147" s="31"/>
      <c r="O147" s="10"/>
      <c r="P147" s="357"/>
      <c r="Q147" s="16"/>
      <c r="R147" s="29"/>
      <c r="T147" s="29"/>
      <c r="U147" s="29"/>
    </row>
    <row r="148" spans="2:21" ht="13.5">
      <c r="B148" s="473" t="s">
        <v>16</v>
      </c>
      <c r="C148" s="468">
        <v>311000</v>
      </c>
      <c r="D148" s="398">
        <f>331542-68926+37020</f>
        <v>299636</v>
      </c>
      <c r="E148" s="397">
        <f t="shared" si="10"/>
        <v>311000</v>
      </c>
      <c r="F148" s="397">
        <v>140614</v>
      </c>
      <c r="G148" s="398">
        <v>250000</v>
      </c>
      <c r="H148" s="398">
        <v>17766</v>
      </c>
      <c r="I148" s="399">
        <v>34327</v>
      </c>
      <c r="J148" s="602">
        <f>250000-50000</f>
        <v>200000</v>
      </c>
      <c r="K148" s="4"/>
      <c r="L148" s="4"/>
      <c r="M148" s="31"/>
      <c r="N148" s="31"/>
      <c r="O148" s="10"/>
      <c r="P148" s="357"/>
      <c r="Q148" s="124" t="s">
        <v>174</v>
      </c>
      <c r="R148" s="29"/>
      <c r="S148" s="516" t="s">
        <v>291</v>
      </c>
      <c r="T148" s="29"/>
      <c r="U148" s="29"/>
    </row>
    <row r="149" spans="2:21" ht="13.5" hidden="1">
      <c r="B149" s="473" t="s">
        <v>57</v>
      </c>
      <c r="C149" s="468">
        <v>2500</v>
      </c>
      <c r="D149" s="398">
        <v>2110</v>
      </c>
      <c r="E149" s="397">
        <f t="shared" si="10"/>
        <v>2500</v>
      </c>
      <c r="F149" s="397">
        <v>0</v>
      </c>
      <c r="G149" s="398"/>
      <c r="H149" s="398"/>
      <c r="I149" s="398"/>
      <c r="J149" s="602">
        <v>0</v>
      </c>
      <c r="K149" s="4"/>
      <c r="L149" s="4"/>
      <c r="M149" s="31"/>
      <c r="N149" s="31"/>
      <c r="O149" s="10"/>
      <c r="P149" s="357"/>
      <c r="Q149" s="53"/>
      <c r="R149" s="29"/>
      <c r="T149" s="29"/>
      <c r="U149" s="29"/>
    </row>
    <row r="150" spans="1:21" ht="13.5">
      <c r="A150" s="124">
        <v>1315</v>
      </c>
      <c r="B150" s="473" t="s">
        <v>59</v>
      </c>
      <c r="C150" s="468">
        <v>25000</v>
      </c>
      <c r="D150" s="398">
        <v>30675</v>
      </c>
      <c r="E150" s="397">
        <f t="shared" si="10"/>
        <v>25000</v>
      </c>
      <c r="F150" s="397">
        <v>3754</v>
      </c>
      <c r="G150" s="398">
        <v>66000</v>
      </c>
      <c r="H150" s="398">
        <v>14826</v>
      </c>
      <c r="I150" s="399">
        <v>14826</v>
      </c>
      <c r="J150" s="602">
        <v>66000</v>
      </c>
      <c r="K150" s="4"/>
      <c r="L150" s="4"/>
      <c r="M150" s="31"/>
      <c r="N150" s="31"/>
      <c r="O150" s="10"/>
      <c r="P150" s="357"/>
      <c r="Q150" s="53">
        <f>J150</f>
        <v>66000</v>
      </c>
      <c r="R150" s="29"/>
      <c r="S150" s="515">
        <v>41000</v>
      </c>
      <c r="T150" s="29"/>
      <c r="U150" s="29"/>
    </row>
    <row r="151" spans="1:21" ht="13.5">
      <c r="A151" s="124">
        <v>1309</v>
      </c>
      <c r="B151" s="473" t="s">
        <v>223</v>
      </c>
      <c r="C151" s="468">
        <v>20000</v>
      </c>
      <c r="D151" s="398">
        <v>124373</v>
      </c>
      <c r="E151" s="397">
        <f t="shared" si="10"/>
        <v>20000</v>
      </c>
      <c r="F151" s="397">
        <v>127566</v>
      </c>
      <c r="G151" s="398">
        <v>135000</v>
      </c>
      <c r="H151" s="398">
        <v>38163</v>
      </c>
      <c r="I151" s="399">
        <v>55745</v>
      </c>
      <c r="J151" s="602">
        <v>135000</v>
      </c>
      <c r="K151" s="4"/>
      <c r="L151" s="4"/>
      <c r="M151" s="31"/>
      <c r="N151" s="31"/>
      <c r="O151" s="10"/>
      <c r="P151" s="357"/>
      <c r="Q151" s="53">
        <f>J151</f>
        <v>135000</v>
      </c>
      <c r="R151" s="29"/>
      <c r="S151" s="515">
        <v>95000</v>
      </c>
      <c r="T151" s="29"/>
      <c r="U151" s="29"/>
    </row>
    <row r="152" spans="1:21" ht="13.5">
      <c r="A152" s="124">
        <v>1327</v>
      </c>
      <c r="B152" s="473" t="s">
        <v>203</v>
      </c>
      <c r="C152" s="468">
        <v>15000</v>
      </c>
      <c r="D152" s="398">
        <v>14748</v>
      </c>
      <c r="E152" s="397">
        <f t="shared" si="10"/>
        <v>15000</v>
      </c>
      <c r="F152" s="397">
        <v>15574</v>
      </c>
      <c r="G152" s="398">
        <v>20000</v>
      </c>
      <c r="H152" s="398">
        <v>1005</v>
      </c>
      <c r="I152" s="399">
        <v>2797</v>
      </c>
      <c r="J152" s="602">
        <v>30000</v>
      </c>
      <c r="K152" s="4"/>
      <c r="L152" s="4"/>
      <c r="M152" s="31"/>
      <c r="N152" s="31"/>
      <c r="O152" s="10"/>
      <c r="P152" s="357"/>
      <c r="Q152" s="53">
        <f>J152</f>
        <v>30000</v>
      </c>
      <c r="R152" s="29"/>
      <c r="S152" s="515"/>
      <c r="T152" s="29"/>
      <c r="U152" s="29"/>
    </row>
    <row r="153" spans="1:21" ht="13.5">
      <c r="A153" s="124">
        <v>1317</v>
      </c>
      <c r="B153" s="473" t="s">
        <v>204</v>
      </c>
      <c r="C153" s="468">
        <v>30000</v>
      </c>
      <c r="D153" s="398"/>
      <c r="E153" s="397">
        <f t="shared" si="10"/>
        <v>30000</v>
      </c>
      <c r="F153" s="397">
        <v>39066</v>
      </c>
      <c r="G153" s="398">
        <v>32000</v>
      </c>
      <c r="H153" s="398">
        <v>0</v>
      </c>
      <c r="I153" s="399">
        <v>0</v>
      </c>
      <c r="J153" s="602">
        <v>32000</v>
      </c>
      <c r="K153" s="4"/>
      <c r="L153" s="4"/>
      <c r="M153" s="31"/>
      <c r="N153" s="31"/>
      <c r="O153" s="10"/>
      <c r="P153" s="357"/>
      <c r="Q153" s="53">
        <f>J153</f>
        <v>32000</v>
      </c>
      <c r="R153" s="29"/>
      <c r="S153" s="515">
        <v>12000</v>
      </c>
      <c r="T153" s="29"/>
      <c r="U153" s="29"/>
    </row>
    <row r="154" spans="2:21" ht="14.25" thickBot="1">
      <c r="B154" s="557" t="s">
        <v>10</v>
      </c>
      <c r="C154" s="558">
        <v>751129</v>
      </c>
      <c r="D154" s="551">
        <v>731469</v>
      </c>
      <c r="E154" s="552">
        <v>753477</v>
      </c>
      <c r="F154" s="552">
        <v>703845</v>
      </c>
      <c r="G154" s="551">
        <v>961688</v>
      </c>
      <c r="H154" s="551">
        <v>334787</v>
      </c>
      <c r="I154" s="551">
        <v>418880</v>
      </c>
      <c r="J154" s="612">
        <v>1131691</v>
      </c>
      <c r="K154" s="4"/>
      <c r="L154" s="4"/>
      <c r="M154" s="31"/>
      <c r="N154" s="31"/>
      <c r="O154" s="10"/>
      <c r="P154" s="359"/>
      <c r="Q154" s="16"/>
      <c r="R154" s="29"/>
      <c r="S154" s="515"/>
      <c r="T154" s="29"/>
      <c r="U154" s="29"/>
    </row>
    <row r="155" spans="1:21" s="11" customFormat="1" ht="14.25" thickBot="1">
      <c r="A155" s="124"/>
      <c r="B155" s="475" t="s">
        <v>2</v>
      </c>
      <c r="C155" s="331">
        <f aca="true" t="shared" si="11" ref="C155:J155">SUM(C142:C154)</f>
        <v>1311629</v>
      </c>
      <c r="D155" s="365">
        <f t="shared" si="11"/>
        <v>1308429</v>
      </c>
      <c r="E155" s="77">
        <f t="shared" si="11"/>
        <v>1313977</v>
      </c>
      <c r="F155" s="77">
        <f t="shared" si="11"/>
        <v>1172587</v>
      </c>
      <c r="G155" s="365">
        <f t="shared" si="11"/>
        <v>1624688</v>
      </c>
      <c r="H155" s="365">
        <f t="shared" si="11"/>
        <v>454126</v>
      </c>
      <c r="I155" s="365">
        <f t="shared" si="11"/>
        <v>580390</v>
      </c>
      <c r="J155" s="365">
        <f t="shared" si="11"/>
        <v>1744691</v>
      </c>
      <c r="K155" s="5"/>
      <c r="L155" s="85"/>
      <c r="M155" s="51"/>
      <c r="N155" s="51"/>
      <c r="O155" s="83"/>
      <c r="P155" s="124"/>
      <c r="Q155" s="511">
        <f>SUM(Q149:Q154)</f>
        <v>263000</v>
      </c>
      <c r="R155" s="52"/>
      <c r="S155" s="519">
        <f>SUM(S150:S154)</f>
        <v>148000</v>
      </c>
      <c r="T155" s="52"/>
      <c r="U155" s="52"/>
    </row>
    <row r="156" spans="2:21" ht="15.75" thickBot="1">
      <c r="B156" s="21"/>
      <c r="C156" s="23"/>
      <c r="D156" s="23"/>
      <c r="E156" s="22"/>
      <c r="F156" s="22"/>
      <c r="G156" s="362"/>
      <c r="H156" s="362"/>
      <c r="I156" s="362"/>
      <c r="K156" s="31"/>
      <c r="L156" s="31"/>
      <c r="M156" s="31"/>
      <c r="N156" s="31"/>
      <c r="O156" s="10"/>
      <c r="Q156" s="29"/>
      <c r="R156" s="29"/>
      <c r="T156" s="29"/>
      <c r="U156" s="29"/>
    </row>
    <row r="157" spans="2:21" ht="15.75" thickBot="1">
      <c r="B157" s="24" t="s">
        <v>3</v>
      </c>
      <c r="C157" s="23"/>
      <c r="D157" s="23"/>
      <c r="E157" s="22"/>
      <c r="F157" s="22"/>
      <c r="G157" s="362"/>
      <c r="H157" s="362"/>
      <c r="I157" s="362"/>
      <c r="K157" s="31"/>
      <c r="L157" s="31"/>
      <c r="M157" s="31"/>
      <c r="N157" s="31"/>
      <c r="O157" s="10"/>
      <c r="Q157" s="135"/>
      <c r="R157" s="29"/>
      <c r="T157" s="29"/>
      <c r="U157" s="29"/>
    </row>
    <row r="158" spans="2:21" ht="13.5">
      <c r="B158" s="471" t="s">
        <v>11</v>
      </c>
      <c r="C158" s="467">
        <v>265000</v>
      </c>
      <c r="D158" s="437">
        <v>421110</v>
      </c>
      <c r="E158" s="448">
        <f>C158</f>
        <v>265000</v>
      </c>
      <c r="F158" s="448">
        <v>272081</v>
      </c>
      <c r="G158" s="437">
        <v>345000</v>
      </c>
      <c r="H158" s="437">
        <v>73907</v>
      </c>
      <c r="I158" s="596">
        <v>102187</v>
      </c>
      <c r="J158" s="605">
        <v>380000</v>
      </c>
      <c r="K158" s="4"/>
      <c r="L158" s="4"/>
      <c r="M158" s="31"/>
      <c r="N158" s="31"/>
      <c r="O158" s="10"/>
      <c r="P158" s="356"/>
      <c r="Q158" s="29"/>
      <c r="R158" s="16" t="s">
        <v>263</v>
      </c>
      <c r="T158" s="29"/>
      <c r="U158" s="29"/>
    </row>
    <row r="159" spans="2:21" ht="13.5" hidden="1">
      <c r="B159" s="476" t="s">
        <v>227</v>
      </c>
      <c r="C159" s="477"/>
      <c r="D159" s="411"/>
      <c r="E159" s="410"/>
      <c r="F159" s="410"/>
      <c r="G159" s="411"/>
      <c r="H159" s="411"/>
      <c r="I159" s="412"/>
      <c r="J159" s="601"/>
      <c r="K159" s="4"/>
      <c r="L159" s="4"/>
      <c r="M159" s="31"/>
      <c r="N159" s="31"/>
      <c r="O159" s="10"/>
      <c r="P159" s="414"/>
      <c r="Q159" s="29"/>
      <c r="R159" s="29"/>
      <c r="T159" s="29"/>
      <c r="U159" s="29"/>
    </row>
    <row r="160" spans="2:21" ht="13.5">
      <c r="B160" s="476" t="s">
        <v>12</v>
      </c>
      <c r="C160" s="477"/>
      <c r="D160" s="411"/>
      <c r="E160" s="410"/>
      <c r="F160" s="410">
        <v>27276</v>
      </c>
      <c r="G160" s="411"/>
      <c r="H160" s="411"/>
      <c r="I160" s="412"/>
      <c r="J160" s="601"/>
      <c r="K160" s="4"/>
      <c r="L160" s="4"/>
      <c r="M160" s="31"/>
      <c r="N160" s="31"/>
      <c r="O160" s="10"/>
      <c r="P160" s="414"/>
      <c r="Q160" s="29"/>
      <c r="R160" s="29"/>
      <c r="T160" s="29"/>
      <c r="U160" s="29"/>
    </row>
    <row r="161" spans="2:21" ht="13.5">
      <c r="B161" s="559" t="s">
        <v>4</v>
      </c>
      <c r="C161" s="560">
        <v>954129</v>
      </c>
      <c r="D161" s="543">
        <v>899000</v>
      </c>
      <c r="E161" s="544">
        <v>956477</v>
      </c>
      <c r="F161" s="544">
        <v>956477</v>
      </c>
      <c r="G161" s="543">
        <v>1174688</v>
      </c>
      <c r="H161" s="543">
        <v>470951</v>
      </c>
      <c r="I161" s="543">
        <v>565142</v>
      </c>
      <c r="J161" s="606">
        <v>1249691</v>
      </c>
      <c r="K161" s="4"/>
      <c r="L161" s="4"/>
      <c r="M161" s="31"/>
      <c r="N161" s="31"/>
      <c r="O161" s="10"/>
      <c r="P161" s="357"/>
      <c r="Q161" s="29"/>
      <c r="R161" s="29"/>
      <c r="T161" s="29"/>
      <c r="U161" s="29"/>
    </row>
    <row r="162" spans="2:21" ht="12.75" hidden="1">
      <c r="B162" s="574" t="s">
        <v>60</v>
      </c>
      <c r="C162" s="575">
        <v>2500</v>
      </c>
      <c r="D162" s="565">
        <v>2500</v>
      </c>
      <c r="E162" s="566">
        <f>C162</f>
        <v>2500</v>
      </c>
      <c r="F162" s="566">
        <v>2500</v>
      </c>
      <c r="G162" s="399"/>
      <c r="H162" s="399"/>
      <c r="I162" s="399"/>
      <c r="J162" s="615"/>
      <c r="K162" s="4"/>
      <c r="L162" s="4"/>
      <c r="M162" s="31"/>
      <c r="N162" s="31"/>
      <c r="O162" s="10"/>
      <c r="P162" s="357"/>
      <c r="Q162" s="29"/>
      <c r="R162" s="29"/>
      <c r="T162" s="29"/>
      <c r="U162" s="29"/>
    </row>
    <row r="163" spans="2:21" ht="13.5">
      <c r="B163" s="574" t="s">
        <v>329</v>
      </c>
      <c r="C163" s="575">
        <v>20000</v>
      </c>
      <c r="D163" s="565">
        <v>20000</v>
      </c>
      <c r="E163" s="566">
        <f>C163</f>
        <v>20000</v>
      </c>
      <c r="F163" s="566">
        <v>20000</v>
      </c>
      <c r="G163" s="565">
        <v>40000</v>
      </c>
      <c r="H163" s="565"/>
      <c r="I163" s="565">
        <v>28000</v>
      </c>
      <c r="J163" s="608">
        <v>40000</v>
      </c>
      <c r="K163" s="4"/>
      <c r="L163" s="4"/>
      <c r="M163" s="31"/>
      <c r="N163" s="31"/>
      <c r="O163" s="10"/>
      <c r="P163" s="357"/>
      <c r="Q163" s="29"/>
      <c r="R163" s="16">
        <f>J163</f>
        <v>40000</v>
      </c>
      <c r="T163" s="29"/>
      <c r="U163" s="29"/>
    </row>
    <row r="164" spans="2:21" ht="13.5">
      <c r="B164" s="574" t="s">
        <v>330</v>
      </c>
      <c r="C164" s="575">
        <v>25000</v>
      </c>
      <c r="D164" s="565">
        <v>25000</v>
      </c>
      <c r="E164" s="566">
        <f>C164</f>
        <v>25000</v>
      </c>
      <c r="F164" s="566">
        <v>25000</v>
      </c>
      <c r="G164" s="565">
        <v>25000</v>
      </c>
      <c r="H164" s="565"/>
      <c r="I164" s="565"/>
      <c r="J164" s="608">
        <v>25000</v>
      </c>
      <c r="K164" s="4"/>
      <c r="L164" s="4"/>
      <c r="M164" s="31"/>
      <c r="N164" s="31"/>
      <c r="O164" s="10"/>
      <c r="P164" s="357"/>
      <c r="Q164" s="29"/>
      <c r="R164" s="16">
        <f>J164</f>
        <v>25000</v>
      </c>
      <c r="T164" s="29"/>
      <c r="U164" s="29"/>
    </row>
    <row r="165" spans="2:21" ht="13.5" hidden="1">
      <c r="B165" s="574" t="s">
        <v>205</v>
      </c>
      <c r="C165" s="575"/>
      <c r="D165" s="565">
        <v>80000</v>
      </c>
      <c r="E165" s="439"/>
      <c r="F165" s="439"/>
      <c r="G165" s="399"/>
      <c r="H165" s="399"/>
      <c r="I165" s="399"/>
      <c r="J165" s="615"/>
      <c r="K165" s="4"/>
      <c r="L165" s="4"/>
      <c r="M165" s="31"/>
      <c r="N165" s="31"/>
      <c r="O165" s="10"/>
      <c r="P165" s="357"/>
      <c r="Q165" s="29"/>
      <c r="R165" s="16"/>
      <c r="T165" s="29"/>
      <c r="U165" s="29"/>
    </row>
    <row r="166" spans="2:21" ht="13.5">
      <c r="B166" s="574" t="s">
        <v>331</v>
      </c>
      <c r="C166" s="575">
        <v>15000</v>
      </c>
      <c r="D166" s="565" t="s">
        <v>207</v>
      </c>
      <c r="E166" s="566">
        <f>C166</f>
        <v>15000</v>
      </c>
      <c r="F166" s="566">
        <v>15000</v>
      </c>
      <c r="G166" s="565">
        <v>20000</v>
      </c>
      <c r="H166" s="565"/>
      <c r="I166" s="565"/>
      <c r="J166" s="608">
        <v>30000</v>
      </c>
      <c r="K166" s="4"/>
      <c r="L166" s="4"/>
      <c r="M166" s="31"/>
      <c r="N166" s="31"/>
      <c r="O166" s="10"/>
      <c r="P166" s="357"/>
      <c r="Q166" s="29"/>
      <c r="R166" s="16">
        <f>J166</f>
        <v>30000</v>
      </c>
      <c r="T166" s="29"/>
      <c r="U166" s="29"/>
    </row>
    <row r="167" spans="2:21" ht="13.5">
      <c r="B167" s="572" t="s">
        <v>332</v>
      </c>
      <c r="C167" s="573">
        <v>30000</v>
      </c>
      <c r="D167" s="565"/>
      <c r="E167" s="566">
        <f>C167</f>
        <v>30000</v>
      </c>
      <c r="F167" s="566">
        <v>30000</v>
      </c>
      <c r="G167" s="565">
        <v>20000</v>
      </c>
      <c r="H167" s="565"/>
      <c r="I167" s="565"/>
      <c r="J167" s="608">
        <v>20000</v>
      </c>
      <c r="K167" s="4"/>
      <c r="L167" s="4"/>
      <c r="M167" s="31"/>
      <c r="N167" s="31"/>
      <c r="O167" s="10"/>
      <c r="P167" s="357"/>
      <c r="Q167" s="29"/>
      <c r="R167" s="16">
        <f>J167</f>
        <v>20000</v>
      </c>
      <c r="T167" s="29"/>
      <c r="U167" s="29"/>
    </row>
    <row r="168" spans="2:21" ht="14.25" thickBot="1">
      <c r="B168" s="523" t="s">
        <v>209</v>
      </c>
      <c r="C168" s="524"/>
      <c r="D168" s="408">
        <v>12500</v>
      </c>
      <c r="E168" s="482"/>
      <c r="F168" s="482"/>
      <c r="G168" s="408"/>
      <c r="H168" s="408"/>
      <c r="I168" s="408"/>
      <c r="J168" s="603"/>
      <c r="K168" s="4"/>
      <c r="L168" s="4"/>
      <c r="M168" s="31"/>
      <c r="N168" s="31"/>
      <c r="O168" s="10"/>
      <c r="P168" s="359"/>
      <c r="T168" s="29"/>
      <c r="U168" s="29"/>
    </row>
    <row r="169" spans="1:21" s="11" customFormat="1" ht="14.25" thickBot="1">
      <c r="A169" s="124"/>
      <c r="B169" s="490" t="s">
        <v>5</v>
      </c>
      <c r="C169" s="173">
        <f aca="true" t="shared" si="12" ref="C169:J169">SUM(C158:C168)</f>
        <v>1311629</v>
      </c>
      <c r="D169" s="360">
        <f t="shared" si="12"/>
        <v>1460110</v>
      </c>
      <c r="E169" s="149">
        <f t="shared" si="12"/>
        <v>1313977</v>
      </c>
      <c r="F169" s="149">
        <f t="shared" si="12"/>
        <v>1348334</v>
      </c>
      <c r="G169" s="360">
        <f t="shared" si="12"/>
        <v>1624688</v>
      </c>
      <c r="H169" s="360">
        <f t="shared" si="12"/>
        <v>544858</v>
      </c>
      <c r="I169" s="360">
        <f t="shared" si="12"/>
        <v>695329</v>
      </c>
      <c r="J169" s="360">
        <f t="shared" si="12"/>
        <v>1744691</v>
      </c>
      <c r="K169" s="51"/>
      <c r="L169" s="85"/>
      <c r="M169" s="51"/>
      <c r="N169" s="51"/>
      <c r="O169" s="83"/>
      <c r="P169" s="124"/>
      <c r="R169" s="510">
        <f>SUM(R163:R168)</f>
        <v>115000</v>
      </c>
      <c r="S169" s="500"/>
      <c r="T169" s="52"/>
      <c r="U169" s="52"/>
    </row>
    <row r="170" spans="1:21" s="11" customFormat="1" ht="9" customHeight="1" thickBot="1">
      <c r="A170" s="124"/>
      <c r="B170" s="137"/>
      <c r="C170" s="51"/>
      <c r="D170" s="51"/>
      <c r="E170" s="5"/>
      <c r="F170" s="5"/>
      <c r="G170" s="367"/>
      <c r="H170" s="367"/>
      <c r="I170" s="367"/>
      <c r="J170" s="609"/>
      <c r="K170" s="51"/>
      <c r="L170" s="85"/>
      <c r="M170" s="51"/>
      <c r="N170" s="51"/>
      <c r="O170" s="83"/>
      <c r="P170" s="124"/>
      <c r="S170" s="500"/>
      <c r="T170" s="52"/>
      <c r="U170" s="52"/>
    </row>
    <row r="171" spans="1:21" s="11" customFormat="1" ht="15" thickBot="1" thickTop="1">
      <c r="A171" s="124"/>
      <c r="B171" s="340" t="s">
        <v>169</v>
      </c>
      <c r="C171" s="341"/>
      <c r="D171" s="343">
        <f aca="true" t="shared" si="13" ref="D171:J171">D169-D155</f>
        <v>151681</v>
      </c>
      <c r="E171" s="343">
        <f t="shared" si="13"/>
        <v>0</v>
      </c>
      <c r="F171" s="343">
        <f t="shared" si="13"/>
        <v>175747</v>
      </c>
      <c r="G171" s="343">
        <f t="shared" si="13"/>
        <v>0</v>
      </c>
      <c r="H171" s="343">
        <f t="shared" si="13"/>
        <v>90732</v>
      </c>
      <c r="I171" s="343">
        <f t="shared" si="13"/>
        <v>114939</v>
      </c>
      <c r="J171" s="610">
        <f t="shared" si="13"/>
        <v>0</v>
      </c>
      <c r="K171" s="51"/>
      <c r="L171" s="85"/>
      <c r="M171" s="51"/>
      <c r="N171" s="51"/>
      <c r="O171" s="83"/>
      <c r="P171" s="124"/>
      <c r="S171" s="500"/>
      <c r="T171" s="52"/>
      <c r="U171" s="52"/>
    </row>
    <row r="172" spans="1:21" s="11" customFormat="1" ht="14.25" thickTop="1">
      <c r="A172" s="124"/>
      <c r="B172" s="137"/>
      <c r="C172" s="51"/>
      <c r="D172" s="51"/>
      <c r="E172" s="5"/>
      <c r="F172" s="5"/>
      <c r="G172" s="367"/>
      <c r="H172" s="367"/>
      <c r="I172" s="367"/>
      <c r="J172" s="609"/>
      <c r="K172" s="51"/>
      <c r="L172" s="85"/>
      <c r="M172" s="51"/>
      <c r="N172" s="51"/>
      <c r="O172" s="83"/>
      <c r="P172" s="124"/>
      <c r="S172" s="500"/>
      <c r="T172" s="52"/>
      <c r="U172" s="52"/>
    </row>
    <row r="173" spans="1:21" s="6" customFormat="1" ht="18" thickBot="1">
      <c r="A173" s="63"/>
      <c r="B173" s="875" t="s">
        <v>62</v>
      </c>
      <c r="C173" s="875"/>
      <c r="D173" s="875"/>
      <c r="E173" s="875"/>
      <c r="F173" s="875"/>
      <c r="G173" s="875"/>
      <c r="H173" s="875"/>
      <c r="I173" s="875"/>
      <c r="J173" s="875"/>
      <c r="K173" s="875"/>
      <c r="L173" s="875"/>
      <c r="M173" s="875"/>
      <c r="N173" s="875"/>
      <c r="O173" s="875"/>
      <c r="P173" s="63"/>
      <c r="S173" s="7"/>
      <c r="T173" s="25"/>
      <c r="U173" s="25"/>
    </row>
    <row r="174" spans="1:19" s="25" customFormat="1" ht="15">
      <c r="A174" s="68"/>
      <c r="B174" s="454" t="s">
        <v>0</v>
      </c>
      <c r="C174" s="93" t="s">
        <v>299</v>
      </c>
      <c r="D174" s="350" t="s">
        <v>137</v>
      </c>
      <c r="E174" s="93" t="s">
        <v>299</v>
      </c>
      <c r="F174" s="350" t="s">
        <v>137</v>
      </c>
      <c r="G174" s="93" t="s">
        <v>299</v>
      </c>
      <c r="H174" s="350" t="s">
        <v>338</v>
      </c>
      <c r="I174" s="350" t="s">
        <v>338</v>
      </c>
      <c r="J174" s="598" t="s">
        <v>165</v>
      </c>
      <c r="K174" s="9"/>
      <c r="L174" s="36"/>
      <c r="M174" s="1"/>
      <c r="N174" s="1"/>
      <c r="O174" s="41"/>
      <c r="P174" s="351" t="s">
        <v>136</v>
      </c>
      <c r="S174" s="57"/>
    </row>
    <row r="175" spans="1:19" s="25" customFormat="1" ht="15.75" thickBot="1">
      <c r="A175" s="68"/>
      <c r="B175" s="455"/>
      <c r="C175" s="539">
        <v>2015</v>
      </c>
      <c r="D175" s="353">
        <v>2015</v>
      </c>
      <c r="E175" s="540">
        <v>2016</v>
      </c>
      <c r="F175" s="540">
        <v>2016</v>
      </c>
      <c r="G175" s="353">
        <v>2017</v>
      </c>
      <c r="H175" s="418" t="s">
        <v>339</v>
      </c>
      <c r="I175" s="418" t="s">
        <v>359</v>
      </c>
      <c r="J175" s="599" t="s">
        <v>300</v>
      </c>
      <c r="K175" s="9"/>
      <c r="L175" s="36"/>
      <c r="M175" s="1"/>
      <c r="N175" s="1"/>
      <c r="O175" s="41"/>
      <c r="P175" s="355"/>
      <c r="S175" s="57"/>
    </row>
    <row r="176" spans="1:19" s="25" customFormat="1" ht="13.5">
      <c r="A176" s="68"/>
      <c r="B176" s="476" t="s">
        <v>1</v>
      </c>
      <c r="C176" s="477">
        <v>10000</v>
      </c>
      <c r="D176" s="411">
        <v>0</v>
      </c>
      <c r="E176" s="410">
        <f>C176</f>
        <v>10000</v>
      </c>
      <c r="F176" s="410">
        <v>0</v>
      </c>
      <c r="G176" s="411">
        <v>5000</v>
      </c>
      <c r="H176" s="411">
        <v>0</v>
      </c>
      <c r="I176" s="411"/>
      <c r="J176" s="601">
        <v>5000</v>
      </c>
      <c r="K176" s="4"/>
      <c r="L176" s="4"/>
      <c r="M176" s="31"/>
      <c r="N176" s="31"/>
      <c r="O176" s="10"/>
      <c r="P176" s="374"/>
      <c r="S176" s="57"/>
    </row>
    <row r="177" spans="1:19" s="25" customFormat="1" ht="13.5">
      <c r="A177" s="68"/>
      <c r="B177" s="473" t="s">
        <v>8</v>
      </c>
      <c r="C177" s="468">
        <v>40000</v>
      </c>
      <c r="D177" s="398">
        <v>12723</v>
      </c>
      <c r="E177" s="397">
        <f>C177</f>
        <v>40000</v>
      </c>
      <c r="F177" s="397">
        <v>71068</v>
      </c>
      <c r="G177" s="398">
        <v>20000</v>
      </c>
      <c r="H177" s="398">
        <v>12003</v>
      </c>
      <c r="I177" s="398">
        <v>1728</v>
      </c>
      <c r="J177" s="602">
        <v>20000</v>
      </c>
      <c r="K177" s="4"/>
      <c r="L177" s="4"/>
      <c r="M177" s="31"/>
      <c r="N177" s="31"/>
      <c r="O177" s="10"/>
      <c r="P177" s="375"/>
      <c r="S177" s="57"/>
    </row>
    <row r="178" spans="1:19" s="25" customFormat="1" ht="13.5">
      <c r="A178" s="68"/>
      <c r="B178" s="473" t="s">
        <v>9</v>
      </c>
      <c r="C178" s="468">
        <v>1000</v>
      </c>
      <c r="D178" s="398">
        <v>115</v>
      </c>
      <c r="E178" s="397">
        <f>C178</f>
        <v>1000</v>
      </c>
      <c r="F178" s="397">
        <v>64</v>
      </c>
      <c r="G178" s="398">
        <v>5000</v>
      </c>
      <c r="H178" s="398">
        <v>3630</v>
      </c>
      <c r="I178" s="398">
        <v>3630</v>
      </c>
      <c r="J178" s="602">
        <v>5000</v>
      </c>
      <c r="K178" s="4"/>
      <c r="L178" s="4"/>
      <c r="M178" s="31"/>
      <c r="N178" s="31"/>
      <c r="O178" s="10"/>
      <c r="P178" s="375"/>
      <c r="S178" s="57"/>
    </row>
    <row r="179" spans="1:19" s="25" customFormat="1" ht="13.5">
      <c r="A179" s="68"/>
      <c r="B179" s="473" t="s">
        <v>16</v>
      </c>
      <c r="C179" s="468">
        <v>95000</v>
      </c>
      <c r="D179" s="398"/>
      <c r="E179" s="397">
        <f>C179</f>
        <v>95000</v>
      </c>
      <c r="F179" s="397">
        <v>3014</v>
      </c>
      <c r="G179" s="398">
        <v>22000</v>
      </c>
      <c r="H179" s="398">
        <v>3988</v>
      </c>
      <c r="I179" s="398">
        <v>6086</v>
      </c>
      <c r="J179" s="602">
        <f>22000-2000</f>
        <v>20000</v>
      </c>
      <c r="K179" s="27"/>
      <c r="L179" s="4"/>
      <c r="M179" s="31"/>
      <c r="N179" s="31"/>
      <c r="O179" s="10"/>
      <c r="P179" s="375"/>
      <c r="S179" s="57"/>
    </row>
    <row r="180" spans="1:19" s="25" customFormat="1" ht="13.5">
      <c r="A180" s="68"/>
      <c r="B180" s="561" t="s">
        <v>10</v>
      </c>
      <c r="C180" s="562">
        <v>612871</v>
      </c>
      <c r="D180" s="547">
        <v>618557</v>
      </c>
      <c r="E180" s="548">
        <v>615136</v>
      </c>
      <c r="F180" s="548">
        <v>562379</v>
      </c>
      <c r="G180" s="547">
        <v>846137</v>
      </c>
      <c r="H180" s="547">
        <v>342381</v>
      </c>
      <c r="I180" s="547">
        <v>413867</v>
      </c>
      <c r="J180" s="616">
        <v>1108312</v>
      </c>
      <c r="K180" s="4"/>
      <c r="L180" s="4"/>
      <c r="M180" s="31"/>
      <c r="N180" s="31"/>
      <c r="O180" s="10"/>
      <c r="P180" s="357"/>
      <c r="Q180" s="124" t="s">
        <v>174</v>
      </c>
      <c r="S180" s="57"/>
    </row>
    <row r="181" spans="1:19" s="25" customFormat="1" ht="13.5">
      <c r="A181" s="68">
        <v>1351</v>
      </c>
      <c r="B181" s="473" t="s">
        <v>65</v>
      </c>
      <c r="C181" s="468">
        <v>90000</v>
      </c>
      <c r="D181" s="398">
        <v>70399</v>
      </c>
      <c r="E181" s="397">
        <f>C181</f>
        <v>90000</v>
      </c>
      <c r="F181" s="397">
        <v>85637</v>
      </c>
      <c r="G181" s="398">
        <v>90000</v>
      </c>
      <c r="H181" s="398">
        <v>8800</v>
      </c>
      <c r="I181" s="398">
        <v>8800</v>
      </c>
      <c r="J181" s="602">
        <v>80000</v>
      </c>
      <c r="K181" s="4"/>
      <c r="L181" s="4"/>
      <c r="M181" s="31"/>
      <c r="N181" s="31"/>
      <c r="O181" s="10"/>
      <c r="P181" s="357" t="s">
        <v>253</v>
      </c>
      <c r="Q181" s="57">
        <f>J181</f>
        <v>80000</v>
      </c>
      <c r="S181" s="57"/>
    </row>
    <row r="182" spans="1:19" s="25" customFormat="1" ht="13.5">
      <c r="A182" s="68">
        <v>1350</v>
      </c>
      <c r="B182" s="473" t="s">
        <v>210</v>
      </c>
      <c r="C182" s="468">
        <v>30000</v>
      </c>
      <c r="D182" s="398">
        <v>16000</v>
      </c>
      <c r="E182" s="397">
        <f>C182</f>
        <v>30000</v>
      </c>
      <c r="F182" s="397">
        <v>23774</v>
      </c>
      <c r="G182" s="398">
        <v>30000</v>
      </c>
      <c r="H182" s="398">
        <v>16444</v>
      </c>
      <c r="I182" s="398">
        <v>16444</v>
      </c>
      <c r="J182" s="602">
        <v>30000</v>
      </c>
      <c r="K182" s="4"/>
      <c r="L182" s="4"/>
      <c r="M182" s="31"/>
      <c r="N182" s="31"/>
      <c r="O182" s="10"/>
      <c r="P182" s="357" t="s">
        <v>149</v>
      </c>
      <c r="Q182" s="57">
        <f>C182</f>
        <v>30000</v>
      </c>
      <c r="S182" s="57"/>
    </row>
    <row r="183" spans="1:19" s="25" customFormat="1" ht="14.25" thickBot="1">
      <c r="A183" s="68">
        <v>1352</v>
      </c>
      <c r="B183" s="493" t="s">
        <v>63</v>
      </c>
      <c r="C183" s="479">
        <v>260000</v>
      </c>
      <c r="D183" s="492">
        <v>110000</v>
      </c>
      <c r="E183" s="422">
        <f>C183</f>
        <v>260000</v>
      </c>
      <c r="F183" s="538">
        <v>236919</v>
      </c>
      <c r="G183" s="492">
        <v>200000</v>
      </c>
      <c r="H183" s="492">
        <v>49530</v>
      </c>
      <c r="I183" s="492">
        <v>62482</v>
      </c>
      <c r="J183" s="614">
        <v>180000</v>
      </c>
      <c r="K183" s="4"/>
      <c r="L183" s="4"/>
      <c r="M183" s="31"/>
      <c r="N183" s="31"/>
      <c r="O183" s="10"/>
      <c r="P183" s="359" t="s">
        <v>147</v>
      </c>
      <c r="Q183" s="57">
        <f>J183</f>
        <v>180000</v>
      </c>
      <c r="S183" s="57"/>
    </row>
    <row r="184" spans="1:19" s="25" customFormat="1" ht="14.25" thickBot="1">
      <c r="A184" s="68"/>
      <c r="B184" s="475" t="s">
        <v>2</v>
      </c>
      <c r="C184" s="173">
        <f aca="true" t="shared" si="14" ref="C184:J184">SUM(C176:C183)</f>
        <v>1138871</v>
      </c>
      <c r="D184" s="360">
        <f t="shared" si="14"/>
        <v>827794</v>
      </c>
      <c r="E184" s="149">
        <f t="shared" si="14"/>
        <v>1141136</v>
      </c>
      <c r="F184" s="149">
        <f t="shared" si="14"/>
        <v>982855</v>
      </c>
      <c r="G184" s="360">
        <f t="shared" si="14"/>
        <v>1218137</v>
      </c>
      <c r="H184" s="360">
        <f t="shared" si="14"/>
        <v>436776</v>
      </c>
      <c r="I184" s="360">
        <f t="shared" si="14"/>
        <v>513037</v>
      </c>
      <c r="J184" s="360">
        <f t="shared" si="14"/>
        <v>1448312</v>
      </c>
      <c r="K184" s="5"/>
      <c r="L184" s="85"/>
      <c r="M184" s="51"/>
      <c r="N184" s="51"/>
      <c r="O184" s="83"/>
      <c r="P184" s="68"/>
      <c r="Q184" s="509">
        <f>SUM(Q181:Q183)</f>
        <v>290000</v>
      </c>
      <c r="S184" s="57"/>
    </row>
    <row r="185" spans="1:19" s="29" customFormat="1" ht="15.75" thickBot="1">
      <c r="A185" s="278"/>
      <c r="B185" s="21"/>
      <c r="C185" s="23"/>
      <c r="D185" s="362"/>
      <c r="E185" s="22"/>
      <c r="F185" s="22"/>
      <c r="G185" s="362"/>
      <c r="H185" s="362"/>
      <c r="I185" s="362"/>
      <c r="J185" s="611"/>
      <c r="K185" s="31"/>
      <c r="L185" s="31"/>
      <c r="M185" s="31"/>
      <c r="N185" s="31"/>
      <c r="O185" s="10"/>
      <c r="P185" s="278"/>
      <c r="S185" s="134"/>
    </row>
    <row r="186" spans="1:19" s="29" customFormat="1" ht="15.75" thickBot="1">
      <c r="A186" s="278"/>
      <c r="B186" s="24" t="s">
        <v>3</v>
      </c>
      <c r="C186" s="23"/>
      <c r="D186" s="362"/>
      <c r="E186" s="22"/>
      <c r="F186" s="22"/>
      <c r="G186" s="362"/>
      <c r="H186" s="362"/>
      <c r="I186" s="362"/>
      <c r="J186" s="611"/>
      <c r="K186" s="31"/>
      <c r="L186" s="31"/>
      <c r="M186" s="31"/>
      <c r="N186" s="31"/>
      <c r="O186" s="10"/>
      <c r="P186" s="278"/>
      <c r="R186" s="16" t="s">
        <v>263</v>
      </c>
      <c r="S186" s="134"/>
    </row>
    <row r="187" spans="1:19" s="29" customFormat="1" ht="13.5">
      <c r="A187" s="278"/>
      <c r="B187" s="568" t="s">
        <v>333</v>
      </c>
      <c r="C187" s="569">
        <v>30000</v>
      </c>
      <c r="D187" s="570">
        <v>16000</v>
      </c>
      <c r="E187" s="571">
        <f>C187</f>
        <v>30000</v>
      </c>
      <c r="F187" s="571">
        <v>30000</v>
      </c>
      <c r="G187" s="570">
        <v>30000</v>
      </c>
      <c r="H187" s="570">
        <v>10000</v>
      </c>
      <c r="I187" s="570">
        <v>20000</v>
      </c>
      <c r="J187" s="617">
        <v>30000</v>
      </c>
      <c r="K187" s="4"/>
      <c r="L187" s="4"/>
      <c r="M187" s="31"/>
      <c r="N187" s="31"/>
      <c r="O187" s="10"/>
      <c r="P187" s="376"/>
      <c r="R187" s="16">
        <f>J187</f>
        <v>30000</v>
      </c>
      <c r="S187" s="134"/>
    </row>
    <row r="188" spans="1:19" s="29" customFormat="1" ht="13.5">
      <c r="A188" s="278"/>
      <c r="B188" s="572" t="s">
        <v>334</v>
      </c>
      <c r="C188" s="573">
        <v>90000</v>
      </c>
      <c r="D188" s="565">
        <v>70399</v>
      </c>
      <c r="E188" s="566">
        <f>C188</f>
        <v>90000</v>
      </c>
      <c r="F188" s="566">
        <v>90000</v>
      </c>
      <c r="G188" s="565">
        <v>90000</v>
      </c>
      <c r="H188" s="565">
        <v>0</v>
      </c>
      <c r="I188" s="565">
        <v>10000</v>
      </c>
      <c r="J188" s="608">
        <v>80000</v>
      </c>
      <c r="K188" s="4"/>
      <c r="L188" s="4"/>
      <c r="M188" s="31"/>
      <c r="N188" s="31"/>
      <c r="O188" s="10"/>
      <c r="P188" s="364"/>
      <c r="R188" s="16">
        <f>J188</f>
        <v>80000</v>
      </c>
      <c r="S188" s="134"/>
    </row>
    <row r="189" spans="1:19" s="29" customFormat="1" ht="13.5">
      <c r="A189" s="278"/>
      <c r="B189" s="572" t="s">
        <v>335</v>
      </c>
      <c r="C189" s="573">
        <v>260000</v>
      </c>
      <c r="D189" s="565">
        <v>110000</v>
      </c>
      <c r="E189" s="566">
        <f>C189</f>
        <v>260000</v>
      </c>
      <c r="F189" s="566">
        <v>260000</v>
      </c>
      <c r="G189" s="565">
        <v>200000</v>
      </c>
      <c r="H189" s="565">
        <v>20000</v>
      </c>
      <c r="I189" s="565">
        <v>20000</v>
      </c>
      <c r="J189" s="608">
        <v>180000</v>
      </c>
      <c r="K189" s="4"/>
      <c r="L189" s="4"/>
      <c r="M189" s="31"/>
      <c r="N189" s="31"/>
      <c r="O189" s="10"/>
      <c r="P189" s="364"/>
      <c r="R189" s="16">
        <f>J189</f>
        <v>180000</v>
      </c>
      <c r="S189" s="134"/>
    </row>
    <row r="190" spans="1:19" s="29" customFormat="1" ht="14.25" thickBot="1">
      <c r="A190" s="278"/>
      <c r="B190" s="495" t="s">
        <v>4</v>
      </c>
      <c r="C190" s="563">
        <v>758871</v>
      </c>
      <c r="D190" s="555">
        <v>735000</v>
      </c>
      <c r="E190" s="556">
        <v>761136</v>
      </c>
      <c r="F190" s="556">
        <v>761136</v>
      </c>
      <c r="G190" s="555">
        <v>898137</v>
      </c>
      <c r="H190" s="564">
        <v>370607</v>
      </c>
      <c r="I190" s="556">
        <v>444730</v>
      </c>
      <c r="J190" s="613">
        <v>1158312</v>
      </c>
      <c r="K190" s="4"/>
      <c r="L190" s="4"/>
      <c r="M190" s="31"/>
      <c r="N190" s="31"/>
      <c r="O190" s="10"/>
      <c r="P190" s="646"/>
      <c r="R190" s="16"/>
      <c r="S190" s="134"/>
    </row>
    <row r="191" spans="1:19" s="29" customFormat="1" ht="14.25" thickBot="1">
      <c r="A191" s="278"/>
      <c r="B191" s="490" t="s">
        <v>5</v>
      </c>
      <c r="C191" s="173">
        <f aca="true" t="shared" si="15" ref="C191:J191">SUM(C187:C190)</f>
        <v>1138871</v>
      </c>
      <c r="D191" s="360">
        <f t="shared" si="15"/>
        <v>931399</v>
      </c>
      <c r="E191" s="149">
        <f t="shared" si="15"/>
        <v>1141136</v>
      </c>
      <c r="F191" s="149">
        <f t="shared" si="15"/>
        <v>1141136</v>
      </c>
      <c r="G191" s="360">
        <f t="shared" si="15"/>
        <v>1218137</v>
      </c>
      <c r="H191" s="360">
        <f t="shared" si="15"/>
        <v>400607</v>
      </c>
      <c r="I191" s="360">
        <f t="shared" si="15"/>
        <v>494730</v>
      </c>
      <c r="J191" s="360">
        <f t="shared" si="15"/>
        <v>1448312</v>
      </c>
      <c r="K191" s="51"/>
      <c r="L191" s="85"/>
      <c r="M191" s="51"/>
      <c r="N191" s="51"/>
      <c r="O191" s="83"/>
      <c r="P191" s="278"/>
      <c r="R191" s="510">
        <f>SUM(R187:R190)</f>
        <v>290000</v>
      </c>
      <c r="S191" s="134"/>
    </row>
    <row r="192" spans="1:19" s="29" customFormat="1" ht="7.5" customHeight="1" thickBot="1">
      <c r="A192" s="278"/>
      <c r="B192" s="68"/>
      <c r="C192" s="68"/>
      <c r="D192" s="344"/>
      <c r="E192" s="68"/>
      <c r="F192" s="68"/>
      <c r="G192" s="344"/>
      <c r="H192" s="344"/>
      <c r="I192" s="344"/>
      <c r="J192" s="618"/>
      <c r="P192" s="278"/>
      <c r="S192" s="134"/>
    </row>
    <row r="193" spans="1:19" s="29" customFormat="1" ht="15" thickBot="1" thickTop="1">
      <c r="A193" s="278"/>
      <c r="B193" s="340" t="s">
        <v>224</v>
      </c>
      <c r="C193" s="341"/>
      <c r="D193" s="343">
        <f aca="true" t="shared" si="16" ref="D193:J193">D191-D184</f>
        <v>103605</v>
      </c>
      <c r="E193" s="343">
        <f t="shared" si="16"/>
        <v>0</v>
      </c>
      <c r="F193" s="343">
        <f t="shared" si="16"/>
        <v>158281</v>
      </c>
      <c r="G193" s="343">
        <f t="shared" si="16"/>
        <v>0</v>
      </c>
      <c r="H193" s="343">
        <f t="shared" si="16"/>
        <v>-36169</v>
      </c>
      <c r="I193" s="343">
        <f t="shared" si="16"/>
        <v>-18307</v>
      </c>
      <c r="J193" s="610">
        <f t="shared" si="16"/>
        <v>0</v>
      </c>
      <c r="P193" s="278"/>
      <c r="S193" s="134"/>
    </row>
    <row r="194" spans="1:19" s="29" customFormat="1" ht="10.5" customHeight="1" thickBot="1" thickTop="1">
      <c r="A194" s="278"/>
      <c r="B194" s="68"/>
      <c r="C194" s="68"/>
      <c r="D194" s="68"/>
      <c r="E194" s="68"/>
      <c r="F194" s="68"/>
      <c r="G194" s="344"/>
      <c r="H194" s="344"/>
      <c r="I194" s="344"/>
      <c r="J194" s="618"/>
      <c r="P194" s="278"/>
      <c r="S194" s="134"/>
    </row>
    <row r="195" spans="1:19" s="29" customFormat="1" ht="15" thickBot="1" thickTop="1">
      <c r="A195" s="278"/>
      <c r="B195" s="340" t="s">
        <v>361</v>
      </c>
      <c r="C195" s="341"/>
      <c r="D195" s="343">
        <f aca="true" t="shared" si="17" ref="D195:J195">D193+D171+D137+D114</f>
        <v>233544</v>
      </c>
      <c r="E195" s="343">
        <f t="shared" si="17"/>
        <v>0</v>
      </c>
      <c r="F195" s="343">
        <f t="shared" si="17"/>
        <v>472042</v>
      </c>
      <c r="G195" s="343">
        <f t="shared" si="17"/>
        <v>0</v>
      </c>
      <c r="H195" s="343">
        <f t="shared" si="17"/>
        <v>-208</v>
      </c>
      <c r="I195" s="343">
        <f t="shared" si="17"/>
        <v>339693</v>
      </c>
      <c r="J195" s="343">
        <f t="shared" si="17"/>
        <v>0</v>
      </c>
      <c r="P195" s="278"/>
      <c r="Q195" s="366" t="s">
        <v>264</v>
      </c>
      <c r="R195" s="503">
        <f>R191+R169+R112</f>
        <v>2765000</v>
      </c>
      <c r="S195" s="134"/>
    </row>
    <row r="196" spans="1:19" s="29" customFormat="1" ht="14.25" thickBot="1" thickTop="1">
      <c r="A196" s="278"/>
      <c r="B196" s="68"/>
      <c r="C196" s="68"/>
      <c r="D196" s="68"/>
      <c r="E196" s="68"/>
      <c r="F196" s="68"/>
      <c r="G196" s="344"/>
      <c r="H196" s="344"/>
      <c r="I196" s="344"/>
      <c r="J196" s="618"/>
      <c r="P196" s="278"/>
      <c r="S196" s="134"/>
    </row>
    <row r="197" spans="1:19" s="29" customFormat="1" ht="12.75">
      <c r="A197" s="278"/>
      <c r="B197" s="650"/>
      <c r="C197" s="651"/>
      <c r="D197" s="651"/>
      <c r="E197" s="652" t="s">
        <v>354</v>
      </c>
      <c r="F197" s="653" t="s">
        <v>355</v>
      </c>
      <c r="G197" s="652" t="s">
        <v>353</v>
      </c>
      <c r="H197" s="652"/>
      <c r="I197" s="654" t="s">
        <v>213</v>
      </c>
      <c r="J197" s="655" t="s">
        <v>316</v>
      </c>
      <c r="K197" s="656"/>
      <c r="L197" s="656"/>
      <c r="M197" s="656"/>
      <c r="N197" s="656"/>
      <c r="O197" s="656"/>
      <c r="P197" s="657" t="s">
        <v>289</v>
      </c>
      <c r="S197" s="134"/>
    </row>
    <row r="198" spans="1:19" s="29" customFormat="1" ht="12.75">
      <c r="A198" s="278"/>
      <c r="B198" s="658" t="s">
        <v>214</v>
      </c>
      <c r="C198" s="659"/>
      <c r="D198" s="659"/>
      <c r="E198" s="660">
        <f>E190+E161+E134+E66+E64</f>
        <v>9907866</v>
      </c>
      <c r="F198" s="660">
        <f>F190+F161+F134+F66+F64</f>
        <v>9877604</v>
      </c>
      <c r="G198" s="660">
        <f>G190+G161+G134+G66+G64</f>
        <v>10779137</v>
      </c>
      <c r="H198" s="661"/>
      <c r="I198" s="660">
        <f>I190+I161+I134+I66</f>
        <v>5289060</v>
      </c>
      <c r="J198" s="660">
        <f>J190+J161+J134+J66</f>
        <v>12033774</v>
      </c>
      <c r="K198" s="662"/>
      <c r="L198" s="662"/>
      <c r="M198" s="662"/>
      <c r="N198" s="662"/>
      <c r="O198" s="662"/>
      <c r="P198" s="663">
        <f>J198/G198</f>
        <v>1.116394939594886</v>
      </c>
      <c r="S198" s="134"/>
    </row>
    <row r="199" spans="1:19" s="29" customFormat="1" ht="12.75">
      <c r="A199" s="278"/>
      <c r="B199" s="658" t="s">
        <v>336</v>
      </c>
      <c r="C199" s="659"/>
      <c r="D199" s="659"/>
      <c r="E199" s="660"/>
      <c r="F199" s="660">
        <f>F189+F188+F187+F167+F166+F164+F163+F162+F96+F94+F92+F90+F89+F87+F84+F83+F85+F81+F79+F78+F77+F76+F74+F72+F67</f>
        <v>2920045</v>
      </c>
      <c r="G199" s="660">
        <f>G189+G188+G187+G167+G166+G164+G163+G101+G100+G96+G95+G94+G92+G91+G90+G88+G85+G84+G83+G81+G79+G78+G77+G76+G74+G71+G67+G87</f>
        <v>2935500</v>
      </c>
      <c r="H199" s="661"/>
      <c r="I199" s="660">
        <f>I189+I188+I187+I167+I166+I164+I163+I101+I100+I96+I95+I94+I92+I91+I90+I88+I85+I84+I83+I81+I79+I78+I77+I76+I74+I71+I67+I87</f>
        <v>766000</v>
      </c>
      <c r="J199" s="661">
        <f>R195</f>
        <v>2765000</v>
      </c>
      <c r="K199" s="662"/>
      <c r="L199" s="662"/>
      <c r="M199" s="662"/>
      <c r="N199" s="662"/>
      <c r="O199" s="662"/>
      <c r="P199" s="663">
        <f>J199/G199</f>
        <v>0.9419179015499914</v>
      </c>
      <c r="S199" s="134"/>
    </row>
    <row r="200" spans="1:19" s="29" customFormat="1" ht="12.75">
      <c r="A200" s="278"/>
      <c r="B200" s="696" t="s">
        <v>368</v>
      </c>
      <c r="C200" s="697"/>
      <c r="D200" s="697"/>
      <c r="E200" s="698">
        <f>SUM(E198:E199)</f>
        <v>9907866</v>
      </c>
      <c r="F200" s="698">
        <f>SUM(F198:F199)</f>
        <v>12797649</v>
      </c>
      <c r="G200" s="698">
        <f>SUM(G198:G199)</f>
        <v>13714637</v>
      </c>
      <c r="H200" s="699"/>
      <c r="I200" s="698">
        <f>SUM(I198:I199)</f>
        <v>6055060</v>
      </c>
      <c r="J200" s="699">
        <f>SUM(J198:J199)</f>
        <v>14798774</v>
      </c>
      <c r="K200" s="700"/>
      <c r="L200" s="700"/>
      <c r="M200" s="700"/>
      <c r="N200" s="700"/>
      <c r="O200" s="700"/>
      <c r="P200" s="701">
        <f>J200/G200</f>
        <v>1.0790496314266285</v>
      </c>
      <c r="S200" s="134"/>
    </row>
    <row r="201" spans="2:21" ht="12.75">
      <c r="B201" s="664" t="s">
        <v>215</v>
      </c>
      <c r="C201" s="665"/>
      <c r="D201" s="665"/>
      <c r="E201" s="666">
        <f>E180+E154+E127+E15</f>
        <v>5698869</v>
      </c>
      <c r="F201" s="666">
        <f>F180+F154+F127+F15</f>
        <v>5516606</v>
      </c>
      <c r="G201" s="666">
        <f>G180+G154+G127+G15</f>
        <v>6865165</v>
      </c>
      <c r="H201" s="667"/>
      <c r="I201" s="666">
        <f>I180+I154+I127+I15</f>
        <v>3077368</v>
      </c>
      <c r="J201" s="666">
        <f>J180+J154+J127+J15</f>
        <v>8300923</v>
      </c>
      <c r="K201" s="668"/>
      <c r="L201" s="668"/>
      <c r="M201" s="668"/>
      <c r="N201" s="668"/>
      <c r="O201" s="668"/>
      <c r="P201" s="663">
        <f>J201/G201</f>
        <v>1.2091367068380732</v>
      </c>
      <c r="T201" s="29"/>
      <c r="U201" s="29"/>
    </row>
    <row r="202" spans="2:21" ht="12.75">
      <c r="B202" s="669"/>
      <c r="C202" s="670"/>
      <c r="D202" s="670"/>
      <c r="E202" s="670"/>
      <c r="F202" s="670" t="s">
        <v>173</v>
      </c>
      <c r="G202" s="671"/>
      <c r="H202" s="671"/>
      <c r="I202" s="671"/>
      <c r="J202" s="667"/>
      <c r="K202" s="670"/>
      <c r="L202" s="670"/>
      <c r="M202" s="670"/>
      <c r="N202" s="670"/>
      <c r="O202" s="670"/>
      <c r="P202" s="672"/>
      <c r="T202" s="29"/>
      <c r="U202" s="29"/>
    </row>
    <row r="203" spans="2:21" ht="12.75">
      <c r="B203" s="658" t="s">
        <v>357</v>
      </c>
      <c r="C203" s="670"/>
      <c r="D203" s="670"/>
      <c r="E203" s="667">
        <f>E184+E155+E128+E58</f>
        <v>16297462</v>
      </c>
      <c r="F203" s="667">
        <f>F184+F155+F128+F58</f>
        <v>16002427</v>
      </c>
      <c r="G203" s="667">
        <f>G184+G155+G128+G58</f>
        <v>17513237</v>
      </c>
      <c r="H203" s="671"/>
      <c r="I203" s="667">
        <f>I184+I155+I128+I58</f>
        <v>7644189</v>
      </c>
      <c r="J203" s="667">
        <f>J184+J155+J128+J58</f>
        <v>18189874</v>
      </c>
      <c r="K203" s="670"/>
      <c r="L203" s="670"/>
      <c r="M203" s="670"/>
      <c r="N203" s="670"/>
      <c r="O203" s="670"/>
      <c r="P203" s="672"/>
      <c r="T203" s="29"/>
      <c r="U203" s="29"/>
    </row>
    <row r="204" spans="2:16" ht="13.5" thickBot="1">
      <c r="B204" s="673" t="s">
        <v>358</v>
      </c>
      <c r="C204" s="674"/>
      <c r="D204" s="674"/>
      <c r="E204" s="675">
        <f>E191+E169+E135+E112</f>
        <v>16297462</v>
      </c>
      <c r="F204" s="675">
        <f>F191+F169+F135+F112</f>
        <v>16474469</v>
      </c>
      <c r="G204" s="675">
        <f>G191+G169+G135+G112</f>
        <v>17513237</v>
      </c>
      <c r="H204" s="676"/>
      <c r="I204" s="675">
        <f>I191+I169+I135+I112</f>
        <v>7983882</v>
      </c>
      <c r="J204" s="675">
        <f>J191+J169+J135+J112</f>
        <v>18189874</v>
      </c>
      <c r="K204" s="674"/>
      <c r="L204" s="674"/>
      <c r="M204" s="674"/>
      <c r="N204" s="674"/>
      <c r="O204" s="674"/>
      <c r="P204" s="677"/>
    </row>
    <row r="205" spans="2:5" ht="12.75">
      <c r="B205" s="63"/>
      <c r="E205" t="s">
        <v>173</v>
      </c>
    </row>
    <row r="207" ht="12.75">
      <c r="P207" s="649">
        <f>J200-14798776</f>
        <v>-2</v>
      </c>
    </row>
  </sheetData>
  <sheetProtection/>
  <mergeCells count="4">
    <mergeCell ref="B2:O2"/>
    <mergeCell ref="B116:L116"/>
    <mergeCell ref="B139:O139"/>
    <mergeCell ref="B173:O17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9" r:id="rId1"/>
  <rowBreaks count="2" manualBreakCount="2">
    <brk id="114" max="15" man="1"/>
    <brk id="1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Boudová Drahomíra</dc:creator>
  <cp:keywords/>
  <dc:description/>
  <cp:lastModifiedBy>Uživatel systému Windows</cp:lastModifiedBy>
  <cp:lastPrinted>2018-07-20T10:15:23Z</cp:lastPrinted>
  <dcterms:created xsi:type="dcterms:W3CDTF">2010-12-13T08:33:51Z</dcterms:created>
  <dcterms:modified xsi:type="dcterms:W3CDTF">2018-08-07T09:10:37Z</dcterms:modified>
  <cp:category/>
  <cp:version/>
  <cp:contentType/>
  <cp:contentStatus/>
</cp:coreProperties>
</file>