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Materiály - RM\K zveřejnění\RM - 6.12.2021\"/>
    </mc:Choice>
  </mc:AlternateContent>
  <xr:revisionPtr revIDLastSave="0" documentId="13_ncr:1_{65A45DFF-A663-4511-826D-B997352F2ECC}" xr6:coauthVersionLast="36" xr6:coauthVersionMax="36" xr10:uidLastSave="{00000000-0000-0000-0000-000000000000}"/>
  <bookViews>
    <workbookView xWindow="0" yWindow="15" windowWidth="17925" windowHeight="9120" xr2:uid="{00000000-000D-0000-FFFF-FFFF00000000}"/>
  </bookViews>
  <sheets>
    <sheet name="Žádost" sheetId="4" r:id="rId1"/>
    <sheet name="Graf1- příjmy ve SR 2005" sheetId="22" state="hidden" r:id="rId2"/>
    <sheet name="Graf1-provnání  P" sheetId="24" state="hidden" r:id="rId3"/>
    <sheet name="Příjmy 2005" sheetId="11" state="hidden" r:id="rId4"/>
    <sheet name="Graf1-výdaje SR 2005" sheetId="23" state="hidden" r:id="rId5"/>
    <sheet name="Graf2- provnání V" sheetId="25" state="hidden" r:id="rId6"/>
    <sheet name="Výdaje 2005" sheetId="12" state="hidden" r:id="rId7"/>
    <sheet name="FRB 2006" sheetId="8" state="hidden" r:id="rId8"/>
    <sheet name="FB 2006" sheetId="9" state="hidden" r:id="rId9"/>
    <sheet name="ÚZ 5 2006" sheetId="10" state="hidden" r:id="rId10"/>
    <sheet name="FRB-ÚZ 92242-2006" sheetId="26" state="hidden" r:id="rId11"/>
    <sheet name="HV 2006" sheetId="19" state="hidden" r:id="rId12"/>
    <sheet name="Školství" sheetId="18" state="hidden" r:id="rId13"/>
    <sheet name="Příspěvek" sheetId="17" state="hidden" r:id="rId14"/>
  </sheets>
  <externalReferences>
    <externalReference r:id="rId15"/>
  </externalReferences>
  <definedNames>
    <definedName name="_xlnm._FilterDatabase" localSheetId="0" hidden="1">Žádost!$A$7:$A$24</definedName>
    <definedName name="_xlnm.Print_Titles" localSheetId="8">'FB 2006'!$1:$4</definedName>
    <definedName name="_xlnm.Print_Titles" localSheetId="7">'FRB 2006'!$1:$3</definedName>
    <definedName name="_xlnm.Print_Titles" localSheetId="13">Příspěvek!$1:$5</definedName>
    <definedName name="_xlnm.Print_Titles" localSheetId="12">Školství!$1:$5</definedName>
    <definedName name="_xlnm.Print_Titles" localSheetId="0">Žádost!$A:$A,Žádost!$1:$7</definedName>
  </definedNames>
  <calcPr calcId="191029"/>
</workbook>
</file>

<file path=xl/calcChain.xml><?xml version="1.0" encoding="utf-8"?>
<calcChain xmlns="http://schemas.openxmlformats.org/spreadsheetml/2006/main">
  <c r="I24" i="4" l="1"/>
  <c r="J16" i="4"/>
  <c r="I13" i="4"/>
  <c r="J9" i="4"/>
  <c r="J22" i="4"/>
  <c r="J20" i="4"/>
  <c r="J18" i="4"/>
  <c r="I56" i="9"/>
  <c r="J56" i="9" s="1"/>
  <c r="H56" i="9"/>
  <c r="G5" i="9"/>
  <c r="G7" i="9" s="1"/>
  <c r="G9" i="9" s="1"/>
  <c r="G15" i="9" s="1"/>
  <c r="G6" i="9"/>
  <c r="I36" i="9"/>
  <c r="J36" i="9" s="1"/>
  <c r="H36" i="9"/>
  <c r="H38" i="9" s="1"/>
  <c r="I37" i="9"/>
  <c r="H37" i="9"/>
  <c r="K37" i="9"/>
  <c r="G37" i="9"/>
  <c r="G38" i="9" s="1"/>
  <c r="I63" i="9"/>
  <c r="H63" i="9"/>
  <c r="G63" i="9"/>
  <c r="I20" i="9"/>
  <c r="H20" i="9"/>
  <c r="G20" i="9"/>
  <c r="G26" i="9" s="1"/>
  <c r="G68" i="9" s="1"/>
  <c r="I39" i="9"/>
  <c r="I40" i="9"/>
  <c r="I41" i="9"/>
  <c r="I42" i="9"/>
  <c r="H42" i="9"/>
  <c r="I43" i="9"/>
  <c r="I44" i="9"/>
  <c r="I45" i="9"/>
  <c r="I46" i="9"/>
  <c r="J46" i="9" s="1"/>
  <c r="H46" i="9"/>
  <c r="I47" i="9"/>
  <c r="I48" i="9"/>
  <c r="I49" i="9"/>
  <c r="I50" i="9"/>
  <c r="I51" i="9"/>
  <c r="I52" i="9"/>
  <c r="I53" i="9"/>
  <c r="I54" i="9"/>
  <c r="I55" i="9"/>
  <c r="I57" i="9"/>
  <c r="I58" i="9"/>
  <c r="I59" i="9"/>
  <c r="H59" i="9"/>
  <c r="I60" i="9"/>
  <c r="I61" i="9"/>
  <c r="I34" i="9"/>
  <c r="I62" i="9" s="1"/>
  <c r="H39" i="9"/>
  <c r="K39" i="9"/>
  <c r="K64" i="9" s="1"/>
  <c r="H40" i="9"/>
  <c r="J40" i="9" s="1"/>
  <c r="H41" i="9"/>
  <c r="H43" i="9"/>
  <c r="H44" i="9"/>
  <c r="H45" i="9"/>
  <c r="H47" i="9"/>
  <c r="H48" i="9"/>
  <c r="H49" i="9"/>
  <c r="H50" i="9"/>
  <c r="H51" i="9"/>
  <c r="H52" i="9"/>
  <c r="H53" i="9"/>
  <c r="H54" i="9"/>
  <c r="J54" i="9" s="1"/>
  <c r="H55" i="9"/>
  <c r="H57" i="9"/>
  <c r="H58" i="9"/>
  <c r="H60" i="9"/>
  <c r="H61" i="9"/>
  <c r="K61" i="9"/>
  <c r="G39" i="9"/>
  <c r="G64" i="9" s="1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6" i="9"/>
  <c r="G57" i="9"/>
  <c r="G58" i="9"/>
  <c r="G60" i="9"/>
  <c r="G61" i="9"/>
  <c r="G34" i="9"/>
  <c r="G62" i="9" s="1"/>
  <c r="G13" i="9"/>
  <c r="H13" i="9"/>
  <c r="J21" i="9"/>
  <c r="J22" i="9"/>
  <c r="J23" i="9"/>
  <c r="J24" i="9"/>
  <c r="J25" i="9"/>
  <c r="J27" i="9"/>
  <c r="J28" i="9"/>
  <c r="J29" i="9"/>
  <c r="I8" i="9"/>
  <c r="I6" i="9"/>
  <c r="H6" i="9"/>
  <c r="I5" i="9"/>
  <c r="I7" i="9" s="1"/>
  <c r="I9" i="9" s="1"/>
  <c r="L32" i="9"/>
  <c r="I33" i="9"/>
  <c r="H33" i="9"/>
  <c r="G33" i="9"/>
  <c r="J32" i="9"/>
  <c r="I13" i="9"/>
  <c r="J13" i="9" s="1"/>
  <c r="L28" i="9"/>
  <c r="L27" i="9"/>
  <c r="G76" i="9"/>
  <c r="G74" i="9"/>
  <c r="G75" i="9" s="1"/>
  <c r="G90" i="9"/>
  <c r="G67" i="9"/>
  <c r="M13" i="9"/>
  <c r="M9" i="9"/>
  <c r="M15" i="9" s="1"/>
  <c r="M26" i="9"/>
  <c r="M33" i="9"/>
  <c r="G81" i="9"/>
  <c r="G87" i="9"/>
  <c r="G86" i="9" s="1"/>
  <c r="L21" i="9"/>
  <c r="L25" i="9"/>
  <c r="L22" i="9"/>
  <c r="L66" i="9"/>
  <c r="H67" i="9"/>
  <c r="K67" i="9"/>
  <c r="J12" i="9"/>
  <c r="J31" i="9"/>
  <c r="J30" i="9"/>
  <c r="G88" i="9"/>
  <c r="G89" i="9"/>
  <c r="L31" i="9"/>
  <c r="L30" i="9"/>
  <c r="K33" i="9"/>
  <c r="G8" i="9"/>
  <c r="G55" i="9"/>
  <c r="G59" i="9"/>
  <c r="G54" i="9"/>
  <c r="H8" i="9"/>
  <c r="H5" i="9"/>
  <c r="H7" i="9" s="1"/>
  <c r="H9" i="9" s="1"/>
  <c r="H15" i="9" s="1"/>
  <c r="K36" i="9"/>
  <c r="L36" i="9" s="1"/>
  <c r="K44" i="9"/>
  <c r="K47" i="9"/>
  <c r="K48" i="9"/>
  <c r="K49" i="9"/>
  <c r="K50" i="9"/>
  <c r="K51" i="9"/>
  <c r="K52" i="9"/>
  <c r="K53" i="9"/>
  <c r="K55" i="9"/>
  <c r="K57" i="9"/>
  <c r="K58" i="9"/>
  <c r="K63" i="9"/>
  <c r="K54" i="9"/>
  <c r="K60" i="9"/>
  <c r="K59" i="9"/>
  <c r="L59" i="9" s="1"/>
  <c r="K56" i="9"/>
  <c r="L56" i="9" s="1"/>
  <c r="K46" i="9"/>
  <c r="L46" i="9" s="1"/>
  <c r="K45" i="9"/>
  <c r="K43" i="9"/>
  <c r="K42" i="9"/>
  <c r="K41" i="9"/>
  <c r="L41" i="9" s="1"/>
  <c r="K40" i="9"/>
  <c r="K20" i="9"/>
  <c r="K26" i="9" s="1"/>
  <c r="K34" i="9"/>
  <c r="K35" i="9" s="1"/>
  <c r="H34" i="9"/>
  <c r="H35" i="9" s="1"/>
  <c r="H25" i="8"/>
  <c r="G25" i="8"/>
  <c r="G29" i="8" s="1"/>
  <c r="G39" i="8" s="1"/>
  <c r="J25" i="8"/>
  <c r="J29" i="8" s="1"/>
  <c r="J39" i="8" s="1"/>
  <c r="H15" i="8"/>
  <c r="H26" i="8"/>
  <c r="G26" i="8"/>
  <c r="F26" i="8"/>
  <c r="H19" i="8"/>
  <c r="H35" i="8"/>
  <c r="H33" i="8"/>
  <c r="H37" i="8" s="1"/>
  <c r="H8" i="8"/>
  <c r="H18" i="8" s="1"/>
  <c r="G8" i="8"/>
  <c r="G18" i="8" s="1"/>
  <c r="G20" i="8" s="1"/>
  <c r="G22" i="8" s="1"/>
  <c r="H11" i="8"/>
  <c r="G11" i="8"/>
  <c r="H13" i="8"/>
  <c r="H14" i="8"/>
  <c r="G14" i="8"/>
  <c r="F8" i="8"/>
  <c r="F18" i="8" s="1"/>
  <c r="F20" i="8" s="1"/>
  <c r="F22" i="8" s="1"/>
  <c r="F10" i="8"/>
  <c r="F11" i="8"/>
  <c r="F12" i="8"/>
  <c r="F13" i="8"/>
  <c r="F14" i="8"/>
  <c r="F16" i="8"/>
  <c r="F17" i="8"/>
  <c r="F36" i="8"/>
  <c r="F33" i="8"/>
  <c r="F37" i="8" s="1"/>
  <c r="F58" i="8" s="1"/>
  <c r="F48" i="8"/>
  <c r="F45" i="8"/>
  <c r="F46" i="8" s="1"/>
  <c r="F60" i="8"/>
  <c r="L29" i="8"/>
  <c r="L20" i="8"/>
  <c r="L22" i="8"/>
  <c r="L37" i="8"/>
  <c r="L39" i="8"/>
  <c r="I7" i="8"/>
  <c r="F35" i="8"/>
  <c r="H9" i="8"/>
  <c r="H12" i="8"/>
  <c r="G12" i="8"/>
  <c r="H36" i="8"/>
  <c r="G36" i="8"/>
  <c r="H34" i="8"/>
  <c r="H10" i="8"/>
  <c r="H16" i="8"/>
  <c r="G16" i="8"/>
  <c r="H17" i="8"/>
  <c r="G17" i="8"/>
  <c r="G13" i="8"/>
  <c r="F19" i="8"/>
  <c r="F9" i="8"/>
  <c r="F34" i="8"/>
  <c r="F61" i="8" s="1"/>
  <c r="F25" i="8"/>
  <c r="F29" i="8" s="1"/>
  <c r="F39" i="8" s="1"/>
  <c r="F56" i="8" s="1"/>
  <c r="G9" i="8"/>
  <c r="G19" i="8"/>
  <c r="G10" i="8"/>
  <c r="I10" i="8" s="1"/>
  <c r="J26" i="8"/>
  <c r="G34" i="8"/>
  <c r="G33" i="8"/>
  <c r="J33" i="8"/>
  <c r="J37" i="8" s="1"/>
  <c r="J34" i="8"/>
  <c r="G35" i="8"/>
  <c r="I35" i="8" s="1"/>
  <c r="J35" i="8"/>
  <c r="J36" i="8"/>
  <c r="I22" i="26"/>
  <c r="H22" i="26"/>
  <c r="H25" i="26" s="1"/>
  <c r="G22" i="26"/>
  <c r="G25" i="26" s="1"/>
  <c r="I23" i="26"/>
  <c r="H23" i="26"/>
  <c r="I24" i="26"/>
  <c r="H24" i="26"/>
  <c r="K24" i="26"/>
  <c r="G23" i="26"/>
  <c r="G24" i="26"/>
  <c r="I8" i="26"/>
  <c r="H8" i="26"/>
  <c r="G8" i="26"/>
  <c r="I6" i="26"/>
  <c r="G6" i="26"/>
  <c r="I5" i="26"/>
  <c r="I7" i="26" s="1"/>
  <c r="G5" i="26"/>
  <c r="G7" i="26" s="1"/>
  <c r="G9" i="26" s="1"/>
  <c r="G11" i="26" s="1"/>
  <c r="G33" i="26"/>
  <c r="G34" i="26" s="1"/>
  <c r="G37" i="26" s="1"/>
  <c r="G39" i="26" s="1"/>
  <c r="G36" i="26"/>
  <c r="G18" i="26"/>
  <c r="G45" i="26" s="1"/>
  <c r="G47" i="26"/>
  <c r="G48" i="26"/>
  <c r="G49" i="26"/>
  <c r="M11" i="26"/>
  <c r="M27" i="26"/>
  <c r="I18" i="26"/>
  <c r="H18" i="26"/>
  <c r="L18" i="26" s="1"/>
  <c r="K18" i="26"/>
  <c r="M25" i="26"/>
  <c r="M18" i="26"/>
  <c r="L17" i="26"/>
  <c r="L16" i="26"/>
  <c r="L15" i="26"/>
  <c r="L14" i="26"/>
  <c r="M9" i="26"/>
  <c r="H5" i="26"/>
  <c r="H7" i="26" s="1"/>
  <c r="H9" i="26" s="1"/>
  <c r="H11" i="26" s="1"/>
  <c r="H6" i="26"/>
  <c r="K22" i="26"/>
  <c r="L22" i="26" s="1"/>
  <c r="K23" i="26"/>
  <c r="G57" i="19"/>
  <c r="E56" i="19"/>
  <c r="H61" i="19"/>
  <c r="H63" i="19" s="1"/>
  <c r="E68" i="19"/>
  <c r="E48" i="19"/>
  <c r="E36" i="19"/>
  <c r="H60" i="19"/>
  <c r="H59" i="19"/>
  <c r="E8" i="19"/>
  <c r="C8" i="19"/>
  <c r="B8" i="19"/>
  <c r="B18" i="19"/>
  <c r="E10" i="19"/>
  <c r="E37" i="19" s="1"/>
  <c r="E20" i="19"/>
  <c r="E38" i="19" s="1"/>
  <c r="C10" i="19"/>
  <c r="E11" i="19"/>
  <c r="C11" i="19"/>
  <c r="B10" i="19"/>
  <c r="B20" i="19"/>
  <c r="B11" i="19"/>
  <c r="E21" i="19"/>
  <c r="B7" i="19"/>
  <c r="B6" i="19" s="1"/>
  <c r="C7" i="19"/>
  <c r="C6" i="19" s="1"/>
  <c r="E7" i="19"/>
  <c r="E97" i="19"/>
  <c r="E99" i="19"/>
  <c r="E88" i="19"/>
  <c r="E90" i="19"/>
  <c r="F57" i="19"/>
  <c r="E57" i="19" s="1"/>
  <c r="E103" i="19"/>
  <c r="E95" i="19"/>
  <c r="E17" i="19"/>
  <c r="E18" i="19"/>
  <c r="C18" i="19"/>
  <c r="C20" i="19"/>
  <c r="C21" i="19"/>
  <c r="B21" i="19"/>
  <c r="C17" i="19"/>
  <c r="B17" i="19"/>
  <c r="B16" i="19" s="1"/>
  <c r="H27" i="10"/>
  <c r="I27" i="10" s="1"/>
  <c r="G27" i="10"/>
  <c r="G33" i="10" s="1"/>
  <c r="E93" i="19"/>
  <c r="E101" i="19" s="1"/>
  <c r="H7" i="10"/>
  <c r="H14" i="10" s="1"/>
  <c r="H22" i="10" s="1"/>
  <c r="C11" i="11"/>
  <c r="C20" i="11" s="1"/>
  <c r="C12" i="11"/>
  <c r="C21" i="11" s="1"/>
  <c r="C16" i="11"/>
  <c r="C22" i="11" s="1"/>
  <c r="C4" i="11"/>
  <c r="C25" i="11" s="1"/>
  <c r="C5" i="11"/>
  <c r="J5" i="11" s="1"/>
  <c r="C6" i="11"/>
  <c r="J6" i="11" s="1"/>
  <c r="C7" i="11"/>
  <c r="J7" i="11" s="1"/>
  <c r="C8" i="11"/>
  <c r="J8" i="11" s="1"/>
  <c r="C9" i="11"/>
  <c r="J9" i="11" s="1"/>
  <c r="C10" i="11"/>
  <c r="C26" i="11" s="1"/>
  <c r="C15" i="11"/>
  <c r="J15" i="11" s="1"/>
  <c r="F4" i="11"/>
  <c r="F19" i="11" s="1"/>
  <c r="D4" i="11"/>
  <c r="D25" i="11" s="1"/>
  <c r="F10" i="11"/>
  <c r="F26" i="11" s="1"/>
  <c r="F13" i="11"/>
  <c r="D13" i="11"/>
  <c r="D10" i="11"/>
  <c r="D26" i="11" s="1"/>
  <c r="D15" i="11"/>
  <c r="D5" i="11"/>
  <c r="K5" i="11" s="1"/>
  <c r="D6" i="11"/>
  <c r="K6" i="11" s="1"/>
  <c r="D7" i="11"/>
  <c r="K7" i="11" s="1"/>
  <c r="D8" i="11"/>
  <c r="D9" i="11"/>
  <c r="K9" i="11" s="1"/>
  <c r="D11" i="11"/>
  <c r="D20" i="11" s="1"/>
  <c r="D12" i="11"/>
  <c r="D16" i="11"/>
  <c r="K16" i="11" s="1"/>
  <c r="F15" i="11"/>
  <c r="F12" i="11"/>
  <c r="F21" i="11" s="1"/>
  <c r="F14" i="11"/>
  <c r="F11" i="11"/>
  <c r="F9" i="11"/>
  <c r="F16" i="11"/>
  <c r="F22" i="11" s="1"/>
  <c r="F8" i="11"/>
  <c r="F7" i="11"/>
  <c r="F5" i="11"/>
  <c r="G5" i="11" s="1"/>
  <c r="F6" i="11"/>
  <c r="C13" i="11"/>
  <c r="J13" i="11" s="1"/>
  <c r="D14" i="11"/>
  <c r="K14" i="11" s="1"/>
  <c r="C14" i="11"/>
  <c r="J14" i="11" s="1"/>
  <c r="O7" i="17"/>
  <c r="AD7" i="17" s="1"/>
  <c r="O8" i="17"/>
  <c r="AA8" i="17" s="1"/>
  <c r="O9" i="17"/>
  <c r="O10" i="17"/>
  <c r="O11" i="17"/>
  <c r="W11" i="17" s="1"/>
  <c r="O12" i="17"/>
  <c r="O13" i="17"/>
  <c r="W13" i="17" s="1"/>
  <c r="O14" i="17"/>
  <c r="O15" i="17"/>
  <c r="P15" i="17" s="1"/>
  <c r="O16" i="17"/>
  <c r="AD16" i="17" s="1"/>
  <c r="O17" i="17"/>
  <c r="W17" i="17" s="1"/>
  <c r="P17" i="17"/>
  <c r="O18" i="17"/>
  <c r="W18" i="17" s="1"/>
  <c r="O19" i="17"/>
  <c r="O20" i="17"/>
  <c r="AA20" i="17" s="1"/>
  <c r="O21" i="17"/>
  <c r="O22" i="17"/>
  <c r="AA22" i="17" s="1"/>
  <c r="O23" i="17"/>
  <c r="O24" i="17"/>
  <c r="W24" i="17" s="1"/>
  <c r="O25" i="17"/>
  <c r="W25" i="17" s="1"/>
  <c r="O27" i="17"/>
  <c r="AA27" i="17" s="1"/>
  <c r="O29" i="17"/>
  <c r="O31" i="17"/>
  <c r="Y31" i="17" s="1"/>
  <c r="O26" i="17"/>
  <c r="W26" i="17" s="1"/>
  <c r="O32" i="17"/>
  <c r="AA32" i="17" s="1"/>
  <c r="O33" i="17"/>
  <c r="W33" i="17" s="1"/>
  <c r="O34" i="17"/>
  <c r="W34" i="17" s="1"/>
  <c r="O35" i="17"/>
  <c r="W35" i="17" s="1"/>
  <c r="O36" i="17"/>
  <c r="O37" i="17"/>
  <c r="W37" i="17" s="1"/>
  <c r="O38" i="17"/>
  <c r="W38" i="17" s="1"/>
  <c r="O39" i="17"/>
  <c r="W39" i="17" s="1"/>
  <c r="O40" i="17"/>
  <c r="O41" i="17"/>
  <c r="O42" i="17"/>
  <c r="AA42" i="17" s="1"/>
  <c r="O43" i="17"/>
  <c r="Y43" i="17" s="1"/>
  <c r="O44" i="17"/>
  <c r="W44" i="17" s="1"/>
  <c r="O45" i="17"/>
  <c r="W45" i="17" s="1"/>
  <c r="O46" i="17"/>
  <c r="W46" i="17" s="1"/>
  <c r="O47" i="17"/>
  <c r="W47" i="17" s="1"/>
  <c r="O48" i="17"/>
  <c r="W48" i="17" s="1"/>
  <c r="O49" i="17"/>
  <c r="O50" i="17"/>
  <c r="W50" i="17" s="1"/>
  <c r="O53" i="17"/>
  <c r="O54" i="17"/>
  <c r="O55" i="17"/>
  <c r="W55" i="17" s="1"/>
  <c r="O56" i="17"/>
  <c r="AA56" i="17" s="1"/>
  <c r="O58" i="17"/>
  <c r="O59" i="17"/>
  <c r="W59" i="17" s="1"/>
  <c r="O60" i="17"/>
  <c r="W60" i="17" s="1"/>
  <c r="O61" i="17"/>
  <c r="AA61" i="17" s="1"/>
  <c r="O62" i="17"/>
  <c r="O63" i="17"/>
  <c r="O64" i="17"/>
  <c r="O65" i="17"/>
  <c r="W65" i="17" s="1"/>
  <c r="O67" i="17"/>
  <c r="W67" i="17" s="1"/>
  <c r="O68" i="17"/>
  <c r="AD68" i="17" s="1"/>
  <c r="O69" i="17"/>
  <c r="W69" i="17" s="1"/>
  <c r="O70" i="17"/>
  <c r="W70" i="17" s="1"/>
  <c r="O71" i="17"/>
  <c r="W71" i="17" s="1"/>
  <c r="O72" i="17"/>
  <c r="W72" i="17" s="1"/>
  <c r="O73" i="17"/>
  <c r="W73" i="17" s="1"/>
  <c r="O74" i="17"/>
  <c r="W74" i="17" s="1"/>
  <c r="O75" i="17"/>
  <c r="W75" i="17" s="1"/>
  <c r="O76" i="17"/>
  <c r="W76" i="17" s="1"/>
  <c r="O77" i="17"/>
  <c r="W77" i="17" s="1"/>
  <c r="O78" i="17"/>
  <c r="W78" i="17" s="1"/>
  <c r="O79" i="17"/>
  <c r="O80" i="17"/>
  <c r="W80" i="17" s="1"/>
  <c r="O81" i="17"/>
  <c r="O82" i="17"/>
  <c r="W82" i="17" s="1"/>
  <c r="O83" i="17"/>
  <c r="W83" i="17" s="1"/>
  <c r="O84" i="17"/>
  <c r="W84" i="17" s="1"/>
  <c r="O85" i="17"/>
  <c r="W85" i="17" s="1"/>
  <c r="C100" i="17"/>
  <c r="C103" i="17" s="1"/>
  <c r="AC6" i="17"/>
  <c r="AB6" i="17"/>
  <c r="AE6" i="17"/>
  <c r="AF6" i="17"/>
  <c r="V85" i="17"/>
  <c r="X85" i="17" s="1"/>
  <c r="T85" i="17"/>
  <c r="N85" i="17"/>
  <c r="V84" i="17"/>
  <c r="T84" i="17"/>
  <c r="N84" i="17"/>
  <c r="N6" i="17" s="1"/>
  <c r="V83" i="17"/>
  <c r="S83" i="17"/>
  <c r="M83" i="17"/>
  <c r="I83" i="17"/>
  <c r="V82" i="17"/>
  <c r="I82" i="17"/>
  <c r="V81" i="17"/>
  <c r="H81" i="17"/>
  <c r="I81" i="17" s="1"/>
  <c r="V80" i="17"/>
  <c r="I80" i="17"/>
  <c r="V79" i="17"/>
  <c r="Y79" i="17" s="1"/>
  <c r="S79" i="17"/>
  <c r="M79" i="17"/>
  <c r="I79" i="17"/>
  <c r="V78" i="17"/>
  <c r="S78" i="17"/>
  <c r="M78" i="17"/>
  <c r="I78" i="17"/>
  <c r="V77" i="17"/>
  <c r="S77" i="17"/>
  <c r="M77" i="17"/>
  <c r="U76" i="17"/>
  <c r="V76" i="17" s="1"/>
  <c r="S76" i="17"/>
  <c r="M76" i="17"/>
  <c r="I76" i="17"/>
  <c r="V75" i="17"/>
  <c r="X75" i="17" s="1"/>
  <c r="I75" i="17"/>
  <c r="V74" i="17"/>
  <c r="I74" i="17"/>
  <c r="U73" i="17"/>
  <c r="V73" i="17" s="1"/>
  <c r="I73" i="17"/>
  <c r="V72" i="17"/>
  <c r="V71" i="17"/>
  <c r="H71" i="17"/>
  <c r="I71" i="17" s="1"/>
  <c r="V70" i="17"/>
  <c r="S70" i="17"/>
  <c r="M70" i="17"/>
  <c r="V69" i="17"/>
  <c r="H69" i="17"/>
  <c r="I69" i="17" s="1"/>
  <c r="V68" i="17"/>
  <c r="X68" i="17" s="1"/>
  <c r="V67" i="17"/>
  <c r="Y67" i="17" s="1"/>
  <c r="L66" i="17"/>
  <c r="V65" i="17"/>
  <c r="S65" i="17"/>
  <c r="M65" i="17"/>
  <c r="V64" i="17"/>
  <c r="U63" i="17"/>
  <c r="V63" i="17"/>
  <c r="Y63" i="17" s="1"/>
  <c r="V62" i="17"/>
  <c r="X62" i="17" s="1"/>
  <c r="U61" i="17"/>
  <c r="V61" i="17" s="1"/>
  <c r="V60" i="17"/>
  <c r="V59" i="17"/>
  <c r="S59" i="17"/>
  <c r="M59" i="17"/>
  <c r="U58" i="17"/>
  <c r="V58" i="17" s="1"/>
  <c r="L57" i="17"/>
  <c r="V56" i="17"/>
  <c r="U55" i="17"/>
  <c r="V55" i="17" s="1"/>
  <c r="U54" i="17"/>
  <c r="V54" i="17" s="1"/>
  <c r="X54" i="17" s="1"/>
  <c r="I54" i="17"/>
  <c r="V53" i="17"/>
  <c r="Y53" i="17" s="1"/>
  <c r="S53" i="17"/>
  <c r="M53" i="17"/>
  <c r="V50" i="17"/>
  <c r="H50" i="17"/>
  <c r="I50" i="17" s="1"/>
  <c r="V49" i="17"/>
  <c r="U48" i="17"/>
  <c r="V48" i="17" s="1"/>
  <c r="H48" i="17"/>
  <c r="I48" i="17" s="1"/>
  <c r="U47" i="17"/>
  <c r="V47" i="17" s="1"/>
  <c r="X47" i="17" s="1"/>
  <c r="H47" i="17"/>
  <c r="I47" i="17" s="1"/>
  <c r="U46" i="17"/>
  <c r="V46" i="17" s="1"/>
  <c r="H46" i="17"/>
  <c r="I46" i="17" s="1"/>
  <c r="U45" i="17"/>
  <c r="V45" i="17" s="1"/>
  <c r="V44" i="17"/>
  <c r="V43" i="17"/>
  <c r="I43" i="17"/>
  <c r="U42" i="17"/>
  <c r="V42" i="17" s="1"/>
  <c r="I42" i="17"/>
  <c r="V41" i="17"/>
  <c r="V40" i="17"/>
  <c r="X40" i="17" s="1"/>
  <c r="V39" i="17"/>
  <c r="Y39" i="17" s="1"/>
  <c r="U38" i="17"/>
  <c r="V38" i="17"/>
  <c r="U37" i="17"/>
  <c r="V37" i="17" s="1"/>
  <c r="V36" i="17"/>
  <c r="V35" i="17"/>
  <c r="X35" i="17" s="1"/>
  <c r="S35" i="17"/>
  <c r="M35" i="17"/>
  <c r="V34" i="17"/>
  <c r="I34" i="17"/>
  <c r="U33" i="17"/>
  <c r="V33" i="17" s="1"/>
  <c r="U32" i="17"/>
  <c r="V32" i="17" s="1"/>
  <c r="V31" i="17"/>
  <c r="X31" i="17" s="1"/>
  <c r="W31" i="17"/>
  <c r="V29" i="17"/>
  <c r="X29" i="17" s="1"/>
  <c r="S29" i="17"/>
  <c r="M29" i="17"/>
  <c r="V27" i="17"/>
  <c r="U26" i="17"/>
  <c r="V26" i="17" s="1"/>
  <c r="U25" i="17"/>
  <c r="V25" i="17" s="1"/>
  <c r="V24" i="17"/>
  <c r="X24" i="17" s="1"/>
  <c r="U23" i="17"/>
  <c r="V23" i="17" s="1"/>
  <c r="V22" i="17"/>
  <c r="V21" i="17"/>
  <c r="U20" i="17"/>
  <c r="W20" i="17"/>
  <c r="V19" i="17"/>
  <c r="V18" i="17"/>
  <c r="S18" i="17"/>
  <c r="M18" i="17"/>
  <c r="H18" i="17"/>
  <c r="I18" i="17" s="1"/>
  <c r="G18" i="17"/>
  <c r="V17" i="17"/>
  <c r="S17" i="17"/>
  <c r="M17" i="17"/>
  <c r="H17" i="17"/>
  <c r="I17" i="17" s="1"/>
  <c r="V16" i="17"/>
  <c r="S16" i="17"/>
  <c r="P16" i="17"/>
  <c r="M16" i="17"/>
  <c r="H16" i="17"/>
  <c r="I16" i="17"/>
  <c r="G16" i="17"/>
  <c r="V15" i="17"/>
  <c r="S15" i="17"/>
  <c r="M15" i="17"/>
  <c r="I15" i="17"/>
  <c r="V14" i="17"/>
  <c r="X14" i="17" s="1"/>
  <c r="S14" i="17"/>
  <c r="M14" i="17"/>
  <c r="H14" i="17"/>
  <c r="I14" i="17" s="1"/>
  <c r="G14" i="17"/>
  <c r="V13" i="17"/>
  <c r="S13" i="17"/>
  <c r="M13" i="17"/>
  <c r="V12" i="17"/>
  <c r="S12" i="17"/>
  <c r="M12" i="17"/>
  <c r="I12" i="17"/>
  <c r="V11" i="17"/>
  <c r="I11" i="17"/>
  <c r="V10" i="17"/>
  <c r="X10" i="17" s="1"/>
  <c r="S10" i="17"/>
  <c r="M10" i="17"/>
  <c r="I10" i="17"/>
  <c r="V9" i="17"/>
  <c r="W9" i="17"/>
  <c r="S9" i="17"/>
  <c r="M9" i="17"/>
  <c r="H9" i="17"/>
  <c r="I9" i="17" s="1"/>
  <c r="V8" i="17"/>
  <c r="H8" i="17"/>
  <c r="G8" i="17"/>
  <c r="V7" i="17"/>
  <c r="H7" i="17"/>
  <c r="R6" i="17"/>
  <c r="K6" i="17"/>
  <c r="J6" i="17"/>
  <c r="O21" i="18"/>
  <c r="AA21" i="18" s="1"/>
  <c r="O22" i="18"/>
  <c r="W22" i="18" s="1"/>
  <c r="O23" i="18"/>
  <c r="AA23" i="18" s="1"/>
  <c r="O24" i="18"/>
  <c r="W24" i="18" s="1"/>
  <c r="O37" i="18"/>
  <c r="AA37" i="18" s="1"/>
  <c r="O38" i="18"/>
  <c r="W38" i="18" s="1"/>
  <c r="O39" i="18"/>
  <c r="W39" i="18" s="1"/>
  <c r="O40" i="18"/>
  <c r="O41" i="18"/>
  <c r="P41" i="18" s="1"/>
  <c r="O42" i="18"/>
  <c r="P42" i="18" s="1"/>
  <c r="O56" i="18"/>
  <c r="P56" i="18" s="1"/>
  <c r="O63" i="18"/>
  <c r="X63" i="18" s="1"/>
  <c r="AC58" i="18"/>
  <c r="AB58" i="18"/>
  <c r="L7" i="18"/>
  <c r="AC8" i="18"/>
  <c r="AC31" i="18"/>
  <c r="AC53" i="18"/>
  <c r="AB8" i="18"/>
  <c r="AB31" i="18"/>
  <c r="AB53" i="18"/>
  <c r="O9" i="18"/>
  <c r="W9" i="18" s="1"/>
  <c r="O10" i="18"/>
  <c r="W10" i="18" s="1"/>
  <c r="O11" i="18"/>
  <c r="O12" i="18"/>
  <c r="O14" i="18"/>
  <c r="W14" i="18" s="1"/>
  <c r="O15" i="18"/>
  <c r="O16" i="18"/>
  <c r="O17" i="18"/>
  <c r="W17" i="18" s="1"/>
  <c r="O18" i="18"/>
  <c r="O19" i="18"/>
  <c r="W19" i="18" s="1"/>
  <c r="O20" i="18"/>
  <c r="O25" i="18"/>
  <c r="W25" i="18" s="1"/>
  <c r="O26" i="18"/>
  <c r="W26" i="18" s="1"/>
  <c r="O27" i="18"/>
  <c r="O28" i="18"/>
  <c r="W28" i="18" s="1"/>
  <c r="O29" i="18"/>
  <c r="W29" i="18" s="1"/>
  <c r="O30" i="18"/>
  <c r="W30" i="18" s="1"/>
  <c r="O32" i="18"/>
  <c r="O33" i="18"/>
  <c r="O34" i="18"/>
  <c r="W34" i="18" s="1"/>
  <c r="O35" i="18"/>
  <c r="W35" i="18" s="1"/>
  <c r="O43" i="18"/>
  <c r="W43" i="18" s="1"/>
  <c r="O44" i="18"/>
  <c r="O45" i="18"/>
  <c r="O46" i="18"/>
  <c r="O48" i="18"/>
  <c r="W48" i="18" s="1"/>
  <c r="O49" i="18"/>
  <c r="Y49" i="18" s="1"/>
  <c r="O51" i="18"/>
  <c r="O52" i="18"/>
  <c r="O54" i="18"/>
  <c r="O55" i="18"/>
  <c r="W55" i="18"/>
  <c r="O59" i="18"/>
  <c r="P59" i="18" s="1"/>
  <c r="O60" i="18"/>
  <c r="P61" i="18" s="1"/>
  <c r="O61" i="18"/>
  <c r="W61" i="18"/>
  <c r="O62" i="18"/>
  <c r="P62" i="18" s="1"/>
  <c r="O64" i="18"/>
  <c r="W64" i="18" s="1"/>
  <c r="L8" i="18"/>
  <c r="L31" i="18"/>
  <c r="L53" i="18"/>
  <c r="L58" i="18"/>
  <c r="V64" i="18"/>
  <c r="S64" i="18"/>
  <c r="M64" i="18"/>
  <c r="I64" i="18"/>
  <c r="I58" i="18" s="1"/>
  <c r="V63" i="18"/>
  <c r="S63" i="18"/>
  <c r="M63" i="18"/>
  <c r="V62" i="18"/>
  <c r="S62" i="18"/>
  <c r="M62" i="18"/>
  <c r="V61" i="18"/>
  <c r="X61" i="18" s="1"/>
  <c r="S61" i="18"/>
  <c r="M61" i="18"/>
  <c r="V60" i="18"/>
  <c r="U59" i="18"/>
  <c r="V59" i="18" s="1"/>
  <c r="S59" i="18"/>
  <c r="M59" i="18"/>
  <c r="R58" i="18"/>
  <c r="T58" i="18"/>
  <c r="T53" i="18" s="1"/>
  <c r="Q58" i="18"/>
  <c r="Q53" i="18" s="1"/>
  <c r="N58" i="18"/>
  <c r="N53" i="18" s="1"/>
  <c r="K58" i="18"/>
  <c r="K53" i="18" s="1"/>
  <c r="J58" i="18"/>
  <c r="J53" i="18" s="1"/>
  <c r="H58" i="18"/>
  <c r="H53" i="18" s="1"/>
  <c r="G58" i="18"/>
  <c r="G53" i="18" s="1"/>
  <c r="V57" i="18"/>
  <c r="X57" i="18" s="1"/>
  <c r="W57" i="18"/>
  <c r="S57" i="18"/>
  <c r="P57" i="18"/>
  <c r="M57" i="18"/>
  <c r="I57" i="18"/>
  <c r="U56" i="18"/>
  <c r="V56" i="18" s="1"/>
  <c r="S56" i="18"/>
  <c r="M56" i="18"/>
  <c r="I56" i="18"/>
  <c r="U55" i="18"/>
  <c r="V55" i="18" s="1"/>
  <c r="S55" i="18"/>
  <c r="M55" i="18"/>
  <c r="V54" i="18"/>
  <c r="Y54" i="18" s="1"/>
  <c r="S54" i="18"/>
  <c r="M54" i="18"/>
  <c r="R53" i="18"/>
  <c r="V52" i="18"/>
  <c r="T52" i="18"/>
  <c r="N52" i="18"/>
  <c r="V51" i="18"/>
  <c r="T51" i="18"/>
  <c r="N51" i="18"/>
  <c r="V49" i="18"/>
  <c r="W49" i="18"/>
  <c r="T49" i="18"/>
  <c r="N49" i="18"/>
  <c r="V48" i="18"/>
  <c r="S48" i="18"/>
  <c r="M48" i="18"/>
  <c r="H47" i="18"/>
  <c r="I47" i="18" s="1"/>
  <c r="V46" i="18"/>
  <c r="S46" i="18"/>
  <c r="M46" i="18"/>
  <c r="I46" i="18"/>
  <c r="V45" i="18"/>
  <c r="S45" i="18"/>
  <c r="M45" i="18"/>
  <c r="I45" i="18"/>
  <c r="V44" i="18"/>
  <c r="X44" i="18" s="1"/>
  <c r="W44" i="18"/>
  <c r="S44" i="18"/>
  <c r="M44" i="18"/>
  <c r="I44" i="18"/>
  <c r="V43" i="18"/>
  <c r="S43" i="18"/>
  <c r="M43" i="18"/>
  <c r="I43" i="18"/>
  <c r="V42" i="18"/>
  <c r="S42" i="18"/>
  <c r="M42" i="18"/>
  <c r="H42" i="18"/>
  <c r="V41" i="18"/>
  <c r="S41" i="18"/>
  <c r="M41" i="18"/>
  <c r="H41" i="18"/>
  <c r="I41" i="18" s="1"/>
  <c r="V40" i="18"/>
  <c r="S40" i="18"/>
  <c r="M40" i="18"/>
  <c r="H40" i="18"/>
  <c r="V39" i="18"/>
  <c r="S39" i="18"/>
  <c r="M39" i="18"/>
  <c r="I39" i="18"/>
  <c r="V38" i="18"/>
  <c r="I38" i="18"/>
  <c r="V37" i="18"/>
  <c r="X37" i="18" s="1"/>
  <c r="I37" i="18"/>
  <c r="U35" i="18"/>
  <c r="S35" i="18"/>
  <c r="M35" i="18"/>
  <c r="V34" i="18"/>
  <c r="U33" i="18"/>
  <c r="V33" i="18" s="1"/>
  <c r="V32" i="18"/>
  <c r="X32" i="18" s="1"/>
  <c r="R31" i="18"/>
  <c r="K31" i="18"/>
  <c r="J31" i="18"/>
  <c r="G31" i="18"/>
  <c r="V30" i="18"/>
  <c r="T30" i="18"/>
  <c r="T8" i="18" s="1"/>
  <c r="N30" i="18"/>
  <c r="N8" i="18" s="1"/>
  <c r="V29" i="18"/>
  <c r="S29" i="18"/>
  <c r="M29" i="18"/>
  <c r="V28" i="18"/>
  <c r="X28" i="18" s="1"/>
  <c r="M28" i="18"/>
  <c r="V27" i="18"/>
  <c r="S27" i="18"/>
  <c r="M27" i="18"/>
  <c r="V26" i="18"/>
  <c r="S26" i="18"/>
  <c r="M26" i="18"/>
  <c r="V25" i="18"/>
  <c r="X25" i="18" s="1"/>
  <c r="S25" i="18"/>
  <c r="M25" i="18"/>
  <c r="V24" i="18"/>
  <c r="X24" i="18" s="1"/>
  <c r="S24" i="18"/>
  <c r="P24" i="18"/>
  <c r="M24" i="18"/>
  <c r="H24" i="18"/>
  <c r="I24" i="18" s="1"/>
  <c r="V23" i="18"/>
  <c r="S23" i="18"/>
  <c r="M23" i="18"/>
  <c r="H23" i="18"/>
  <c r="I23" i="18" s="1"/>
  <c r="V22" i="18"/>
  <c r="S22" i="18"/>
  <c r="M22" i="18"/>
  <c r="H22" i="18"/>
  <c r="I22" i="18" s="1"/>
  <c r="V21" i="18"/>
  <c r="W21" i="18"/>
  <c r="S21" i="18"/>
  <c r="M21" i="18"/>
  <c r="H21" i="18"/>
  <c r="I21" i="18" s="1"/>
  <c r="V20" i="18"/>
  <c r="S20" i="18"/>
  <c r="M20" i="18"/>
  <c r="H20" i="18"/>
  <c r="V19" i="18"/>
  <c r="S19" i="18"/>
  <c r="M19" i="18"/>
  <c r="V18" i="18"/>
  <c r="V17" i="18"/>
  <c r="V16" i="18"/>
  <c r="V15" i="18"/>
  <c r="X15" i="18" s="1"/>
  <c r="V14" i="18"/>
  <c r="U12" i="18"/>
  <c r="V12" i="18" s="1"/>
  <c r="X12" i="18" s="1"/>
  <c r="V11" i="18"/>
  <c r="U10" i="18"/>
  <c r="V10" i="18" s="1"/>
  <c r="U9" i="18"/>
  <c r="V9" i="18" s="1"/>
  <c r="R8" i="18"/>
  <c r="K8" i="18"/>
  <c r="J8" i="18"/>
  <c r="G8" i="18"/>
  <c r="H20" i="10"/>
  <c r="J32" i="10"/>
  <c r="H32" i="10"/>
  <c r="G32" i="10"/>
  <c r="F32" i="10"/>
  <c r="J27" i="10"/>
  <c r="J28" i="10"/>
  <c r="G28" i="10"/>
  <c r="J29" i="10"/>
  <c r="J30" i="10"/>
  <c r="J31" i="10"/>
  <c r="K31" i="10" s="1"/>
  <c r="G31" i="10"/>
  <c r="H28" i="10"/>
  <c r="I28" i="10" s="1"/>
  <c r="H29" i="10"/>
  <c r="G29" i="10"/>
  <c r="H30" i="10"/>
  <c r="H31" i="10"/>
  <c r="G30" i="10"/>
  <c r="F27" i="10"/>
  <c r="F33" i="10" s="1"/>
  <c r="F35" i="10" s="1"/>
  <c r="F28" i="10"/>
  <c r="F29" i="10"/>
  <c r="F30" i="10"/>
  <c r="F31" i="10"/>
  <c r="G7" i="10"/>
  <c r="G14" i="10" s="1"/>
  <c r="G61" i="10" s="1"/>
  <c r="G62" i="10" s="1"/>
  <c r="F7" i="10"/>
  <c r="F14" i="10" s="1"/>
  <c r="F22" i="10" s="1"/>
  <c r="F20" i="10"/>
  <c r="G20" i="10"/>
  <c r="F41" i="10"/>
  <c r="F42" i="10" s="1"/>
  <c r="F43" i="10"/>
  <c r="F48" i="10"/>
  <c r="F54" i="10"/>
  <c r="F53" i="10" s="1"/>
  <c r="F57" i="10"/>
  <c r="F56" i="10"/>
  <c r="F55" i="10"/>
  <c r="E19" i="12"/>
  <c r="D19" i="12"/>
  <c r="E18" i="12"/>
  <c r="E17" i="12"/>
  <c r="E16" i="12"/>
  <c r="E15" i="12"/>
  <c r="D15" i="12"/>
  <c r="E14" i="12"/>
  <c r="E13" i="12"/>
  <c r="E12" i="12"/>
  <c r="E11" i="12"/>
  <c r="D11" i="12"/>
  <c r="E9" i="12"/>
  <c r="F9" i="12" s="1"/>
  <c r="D9" i="12"/>
  <c r="E8" i="12"/>
  <c r="D8" i="12"/>
  <c r="E7" i="12"/>
  <c r="D7" i="12"/>
  <c r="E6" i="12"/>
  <c r="F6" i="12" s="1"/>
  <c r="D6" i="12"/>
  <c r="E5" i="12"/>
  <c r="E20" i="12" s="1"/>
  <c r="D16" i="12"/>
  <c r="D17" i="12"/>
  <c r="C17" i="12"/>
  <c r="C16" i="12"/>
  <c r="C11" i="12"/>
  <c r="D10" i="12"/>
  <c r="C10" i="12"/>
  <c r="C9" i="12"/>
  <c r="C8" i="12"/>
  <c r="C7" i="12"/>
  <c r="C6" i="12"/>
  <c r="C15" i="12"/>
  <c r="C5" i="12"/>
  <c r="C20" i="12" s="1"/>
  <c r="D5" i="12"/>
  <c r="D20" i="12" s="1"/>
  <c r="D14" i="12"/>
  <c r="C14" i="12"/>
  <c r="D12" i="12"/>
  <c r="D13" i="12"/>
  <c r="D18" i="12"/>
  <c r="C12" i="12"/>
  <c r="C13" i="12"/>
  <c r="C18" i="12"/>
  <c r="C19" i="12"/>
  <c r="E10" i="12"/>
  <c r="AD25" i="17"/>
  <c r="AA9" i="17"/>
  <c r="P64" i="18"/>
  <c r="P10" i="17"/>
  <c r="Q52" i="18"/>
  <c r="X17" i="17"/>
  <c r="W15" i="18"/>
  <c r="W63" i="17"/>
  <c r="W40" i="17"/>
  <c r="W10" i="17"/>
  <c r="W54" i="17"/>
  <c r="Y24" i="17"/>
  <c r="AD14" i="17"/>
  <c r="Y44" i="18"/>
  <c r="P44" i="18"/>
  <c r="I7" i="17"/>
  <c r="P55" i="18"/>
  <c r="D17" i="11"/>
  <c r="I35" i="9"/>
  <c r="H26" i="9"/>
  <c r="H68" i="9" s="1"/>
  <c r="E16" i="19"/>
  <c r="K38" i="9"/>
  <c r="L38" i="9" s="1"/>
  <c r="K10" i="11"/>
  <c r="D19" i="11"/>
  <c r="D23" i="11" s="1"/>
  <c r="Y34" i="18"/>
  <c r="W53" i="17"/>
  <c r="P53" i="17"/>
  <c r="W29" i="17"/>
  <c r="E10" i="11"/>
  <c r="AA63" i="18"/>
  <c r="AA58" i="18" s="1"/>
  <c r="J12" i="11"/>
  <c r="W32" i="18"/>
  <c r="I42" i="18"/>
  <c r="W79" i="17"/>
  <c r="Y80" i="17"/>
  <c r="P79" i="17"/>
  <c r="W54" i="18"/>
  <c r="P54" i="18"/>
  <c r="W33" i="18"/>
  <c r="AA40" i="18"/>
  <c r="Y40" i="18"/>
  <c r="W40" i="18"/>
  <c r="P40" i="18"/>
  <c r="W63" i="18"/>
  <c r="I32" i="10"/>
  <c r="X40" i="18"/>
  <c r="W62" i="17"/>
  <c r="AA36" i="17"/>
  <c r="W36" i="17"/>
  <c r="W14" i="17"/>
  <c r="P14" i="17"/>
  <c r="K12" i="11"/>
  <c r="H29" i="8"/>
  <c r="H39" i="8" s="1"/>
  <c r="X54" i="18" l="1"/>
  <c r="Y21" i="18"/>
  <c r="J10" i="11"/>
  <c r="J33" i="9"/>
  <c r="P63" i="18"/>
  <c r="Y63" i="18"/>
  <c r="Y43" i="18"/>
  <c r="P13" i="17"/>
  <c r="F7" i="12"/>
  <c r="X43" i="17"/>
  <c r="X59" i="17"/>
  <c r="J24" i="26"/>
  <c r="W60" i="18"/>
  <c r="W43" i="17"/>
  <c r="Y48" i="18"/>
  <c r="AA48" i="17"/>
  <c r="K32" i="10"/>
  <c r="Y13" i="17"/>
  <c r="X44" i="17"/>
  <c r="X56" i="17"/>
  <c r="X71" i="17"/>
  <c r="Y83" i="17"/>
  <c r="W37" i="18"/>
  <c r="Y59" i="17"/>
  <c r="P43" i="18"/>
  <c r="P21" i="18"/>
  <c r="Y29" i="18"/>
  <c r="X48" i="18"/>
  <c r="X36" i="17"/>
  <c r="X72" i="17"/>
  <c r="Y14" i="17"/>
  <c r="G6" i="11"/>
  <c r="X19" i="18"/>
  <c r="Y17" i="17"/>
  <c r="P48" i="18"/>
  <c r="K27" i="10"/>
  <c r="X11" i="18"/>
  <c r="Y17" i="18"/>
  <c r="X43" i="18"/>
  <c r="N31" i="18"/>
  <c r="X52" i="18"/>
  <c r="X23" i="17"/>
  <c r="X58" i="17"/>
  <c r="Y10" i="17"/>
  <c r="W61" i="17"/>
  <c r="W27" i="17"/>
  <c r="P70" i="17"/>
  <c r="Y70" i="17"/>
  <c r="Y37" i="18"/>
  <c r="H31" i="18"/>
  <c r="X78" i="17"/>
  <c r="X62" i="18"/>
  <c r="I33" i="8"/>
  <c r="Y65" i="17"/>
  <c r="X22" i="17"/>
  <c r="Y78" i="17"/>
  <c r="Y30" i="18"/>
  <c r="Q30" i="18"/>
  <c r="Q8" i="18" s="1"/>
  <c r="T31" i="18"/>
  <c r="Y60" i="18"/>
  <c r="Y51" i="18"/>
  <c r="X38" i="17"/>
  <c r="L6" i="17"/>
  <c r="X74" i="17"/>
  <c r="Y82" i="17"/>
  <c r="X83" i="17"/>
  <c r="Y81" i="17"/>
  <c r="AA33" i="17"/>
  <c r="X21" i="17"/>
  <c r="F17" i="19"/>
  <c r="L41" i="8"/>
  <c r="L45" i="9"/>
  <c r="L60" i="9"/>
  <c r="J59" i="9"/>
  <c r="AA38" i="18"/>
  <c r="X27" i="17"/>
  <c r="X21" i="18"/>
  <c r="U58" i="18"/>
  <c r="F19" i="12"/>
  <c r="X38" i="18"/>
  <c r="X42" i="18"/>
  <c r="X64" i="18"/>
  <c r="AC6" i="18"/>
  <c r="W7" i="17"/>
  <c r="Y11" i="17"/>
  <c r="G7" i="11"/>
  <c r="L54" i="9"/>
  <c r="Y55" i="18"/>
  <c r="X55" i="18"/>
  <c r="S31" i="18"/>
  <c r="X53" i="17"/>
  <c r="F25" i="11"/>
  <c r="G25" i="11" s="1"/>
  <c r="O53" i="18"/>
  <c r="Y23" i="18"/>
  <c r="Q85" i="17"/>
  <c r="Y85" i="17"/>
  <c r="P23" i="18"/>
  <c r="X30" i="18"/>
  <c r="M8" i="18"/>
  <c r="W23" i="18"/>
  <c r="U31" i="18"/>
  <c r="X39" i="18"/>
  <c r="M58" i="18"/>
  <c r="M53" i="18" s="1"/>
  <c r="L6" i="18"/>
  <c r="X7" i="17"/>
  <c r="W15" i="17"/>
  <c r="X41" i="17"/>
  <c r="B28" i="19"/>
  <c r="J22" i="26"/>
  <c r="K34" i="8"/>
  <c r="L39" i="9"/>
  <c r="J63" i="9"/>
  <c r="J37" i="9"/>
  <c r="X60" i="18"/>
  <c r="U53" i="18"/>
  <c r="X14" i="18"/>
  <c r="C17" i="11"/>
  <c r="P18" i="17"/>
  <c r="P9" i="17"/>
  <c r="AA39" i="18"/>
  <c r="X23" i="18"/>
  <c r="X26" i="18"/>
  <c r="X34" i="18"/>
  <c r="Y20" i="18"/>
  <c r="Y16" i="18"/>
  <c r="AB6" i="18"/>
  <c r="X15" i="17"/>
  <c r="U6" i="17"/>
  <c r="Y77" i="17"/>
  <c r="G11" i="11"/>
  <c r="E8" i="11"/>
  <c r="G26" i="11"/>
  <c r="M29" i="26"/>
  <c r="J23" i="26"/>
  <c r="L33" i="9"/>
  <c r="L67" i="9"/>
  <c r="J61" i="9"/>
  <c r="K25" i="26"/>
  <c r="L25" i="26" s="1"/>
  <c r="Y15" i="17"/>
  <c r="AD18" i="17"/>
  <c r="W56" i="18"/>
  <c r="I30" i="10"/>
  <c r="Y46" i="18"/>
  <c r="Y27" i="18"/>
  <c r="X18" i="17"/>
  <c r="X25" i="17"/>
  <c r="X55" i="17"/>
  <c r="X64" i="17"/>
  <c r="Y69" i="17"/>
  <c r="AA37" i="17"/>
  <c r="Y19" i="17"/>
  <c r="L23" i="26"/>
  <c r="L63" i="9"/>
  <c r="J45" i="9"/>
  <c r="L37" i="9"/>
  <c r="O8" i="18"/>
  <c r="X77" i="17"/>
  <c r="X12" i="17"/>
  <c r="J39" i="9"/>
  <c r="W8" i="17"/>
  <c r="W32" i="17"/>
  <c r="AA38" i="17"/>
  <c r="X69" i="17"/>
  <c r="J33" i="10"/>
  <c r="J35" i="10" s="1"/>
  <c r="H27" i="26"/>
  <c r="H29" i="26" s="1"/>
  <c r="X19" i="17"/>
  <c r="Q51" i="18"/>
  <c r="O6" i="17"/>
  <c r="Y41" i="18"/>
  <c r="Y22" i="18"/>
  <c r="X70" i="17"/>
  <c r="X34" i="17"/>
  <c r="E16" i="11"/>
  <c r="Y57" i="18"/>
  <c r="F12" i="12"/>
  <c r="F15" i="12"/>
  <c r="F46" i="10"/>
  <c r="F51" i="10" s="1"/>
  <c r="F59" i="10" s="1"/>
  <c r="I20" i="10"/>
  <c r="H8" i="18"/>
  <c r="W20" i="18"/>
  <c r="I40" i="18"/>
  <c r="I31" i="18" s="1"/>
  <c r="S58" i="18"/>
  <c r="S53" i="18" s="1"/>
  <c r="X49" i="18"/>
  <c r="Y45" i="18"/>
  <c r="Y15" i="18"/>
  <c r="W6" i="17"/>
  <c r="G6" i="17"/>
  <c r="W19" i="17"/>
  <c r="Y34" i="17"/>
  <c r="T6" i="17"/>
  <c r="P65" i="17"/>
  <c r="Y60" i="17"/>
  <c r="Y49" i="17"/>
  <c r="Y41" i="17"/>
  <c r="Y21" i="17"/>
  <c r="G14" i="11"/>
  <c r="E12" i="11"/>
  <c r="K33" i="10"/>
  <c r="F18" i="19"/>
  <c r="F21" i="19"/>
  <c r="C30" i="19"/>
  <c r="J18" i="26"/>
  <c r="L24" i="26"/>
  <c r="K35" i="8"/>
  <c r="I34" i="8"/>
  <c r="K39" i="8"/>
  <c r="L42" i="9"/>
  <c r="M68" i="9"/>
  <c r="C25" i="19"/>
  <c r="W53" i="18"/>
  <c r="Y64" i="18"/>
  <c r="Y74" i="17"/>
  <c r="W51" i="18"/>
  <c r="Y56" i="17"/>
  <c r="Y35" i="17"/>
  <c r="X16" i="17"/>
  <c r="X13" i="17"/>
  <c r="Y7" i="17"/>
  <c r="X20" i="18"/>
  <c r="M31" i="18"/>
  <c r="X46" i="18"/>
  <c r="X51" i="18"/>
  <c r="Y18" i="18"/>
  <c r="Y14" i="18"/>
  <c r="Y39" i="18"/>
  <c r="W22" i="17"/>
  <c r="W42" i="17"/>
  <c r="X65" i="17"/>
  <c r="Y72" i="17"/>
  <c r="Y36" i="17"/>
  <c r="E24" i="19"/>
  <c r="L43" i="9"/>
  <c r="G10" i="11"/>
  <c r="P76" i="17"/>
  <c r="P39" i="18"/>
  <c r="O7" i="18"/>
  <c r="W11" i="18"/>
  <c r="W56" i="17"/>
  <c r="Y38" i="18"/>
  <c r="AA41" i="18"/>
  <c r="Y27" i="17"/>
  <c r="W81" i="17"/>
  <c r="X16" i="18"/>
  <c r="AA22" i="18"/>
  <c r="X27" i="18"/>
  <c r="Y62" i="17"/>
  <c r="Y26" i="18"/>
  <c r="Q84" i="17"/>
  <c r="W41" i="18"/>
  <c r="X84" i="17"/>
  <c r="X17" i="18"/>
  <c r="D22" i="11"/>
  <c r="G22" i="11" s="1"/>
  <c r="X41" i="18"/>
  <c r="AA46" i="17"/>
  <c r="P20" i="18"/>
  <c r="P46" i="18"/>
  <c r="F18" i="12"/>
  <c r="F11" i="12"/>
  <c r="I29" i="10"/>
  <c r="S8" i="18"/>
  <c r="Y52" i="18"/>
  <c r="Y32" i="18"/>
  <c r="Y42" i="18"/>
  <c r="X8" i="17"/>
  <c r="S6" i="17"/>
  <c r="M6" i="17"/>
  <c r="W12" i="17"/>
  <c r="Y22" i="17"/>
  <c r="X61" i="17"/>
  <c r="Y23" i="17"/>
  <c r="Y9" i="17"/>
  <c r="G15" i="11"/>
  <c r="G13" i="11"/>
  <c r="B25" i="19"/>
  <c r="F49" i="8"/>
  <c r="F51" i="8" s="1"/>
  <c r="G79" i="9"/>
  <c r="G84" i="9" s="1"/>
  <c r="G92" i="9" s="1"/>
  <c r="J20" i="9"/>
  <c r="I12" i="8"/>
  <c r="E91" i="19"/>
  <c r="F58" i="19"/>
  <c r="E58" i="19" s="1"/>
  <c r="E63" i="19" s="1"/>
  <c r="J8" i="26"/>
  <c r="I17" i="8"/>
  <c r="I14" i="8"/>
  <c r="J5" i="9"/>
  <c r="C28" i="19"/>
  <c r="F10" i="19"/>
  <c r="I16" i="8"/>
  <c r="I11" i="8"/>
  <c r="J6" i="9"/>
  <c r="J5" i="26"/>
  <c r="J6" i="26"/>
  <c r="I9" i="8"/>
  <c r="V8" i="18"/>
  <c r="X8" i="18" s="1"/>
  <c r="X9" i="18"/>
  <c r="Y9" i="18"/>
  <c r="X56" i="18"/>
  <c r="Y56" i="18"/>
  <c r="V58" i="18"/>
  <c r="X59" i="18"/>
  <c r="X46" i="17"/>
  <c r="Y46" i="17"/>
  <c r="Y76" i="17"/>
  <c r="X76" i="17"/>
  <c r="D103" i="17"/>
  <c r="C104" i="17"/>
  <c r="D104" i="17" s="1"/>
  <c r="X33" i="18"/>
  <c r="Y33" i="18"/>
  <c r="W8" i="18"/>
  <c r="X73" i="17"/>
  <c r="Y73" i="17"/>
  <c r="G27" i="26"/>
  <c r="G44" i="26" s="1"/>
  <c r="G46" i="26"/>
  <c r="N50" i="26" s="1"/>
  <c r="I6" i="17"/>
  <c r="V53" i="18"/>
  <c r="X53" i="18" s="1"/>
  <c r="Y61" i="17"/>
  <c r="X32" i="17"/>
  <c r="Y32" i="17"/>
  <c r="X48" i="17"/>
  <c r="Y48" i="17"/>
  <c r="X10" i="18"/>
  <c r="Y10" i="18"/>
  <c r="Y26" i="17"/>
  <c r="X26" i="17"/>
  <c r="Y33" i="17"/>
  <c r="X33" i="17"/>
  <c r="X37" i="17"/>
  <c r="Y37" i="17"/>
  <c r="X42" i="17"/>
  <c r="Y42" i="17"/>
  <c r="X45" i="17"/>
  <c r="Y45" i="17"/>
  <c r="Y54" i="17"/>
  <c r="I53" i="18"/>
  <c r="P58" i="18"/>
  <c r="P53" i="18" s="1"/>
  <c r="Y12" i="18"/>
  <c r="Y58" i="17"/>
  <c r="B23" i="19"/>
  <c r="M70" i="9"/>
  <c r="F17" i="12"/>
  <c r="Y8" i="17"/>
  <c r="P59" i="17"/>
  <c r="W18" i="18"/>
  <c r="K30" i="10"/>
  <c r="AC2" i="17"/>
  <c r="W42" i="18"/>
  <c r="Y47" i="17"/>
  <c r="Y75" i="17"/>
  <c r="AA35" i="17"/>
  <c r="P12" i="17"/>
  <c r="W23" i="17"/>
  <c r="F14" i="12"/>
  <c r="V35" i="18"/>
  <c r="X35" i="18" s="1"/>
  <c r="AA24" i="18"/>
  <c r="Y40" i="17"/>
  <c r="W64" i="17"/>
  <c r="W58" i="17"/>
  <c r="E13" i="11"/>
  <c r="X81" i="17"/>
  <c r="P77" i="17"/>
  <c r="Y38" i="17"/>
  <c r="P78" i="17"/>
  <c r="Y71" i="17"/>
  <c r="B24" i="19"/>
  <c r="D21" i="11"/>
  <c r="P35" i="17"/>
  <c r="X67" i="17"/>
  <c r="P83" i="17"/>
  <c r="P22" i="18"/>
  <c r="X39" i="17"/>
  <c r="X22" i="18"/>
  <c r="P19" i="18"/>
  <c r="Y11" i="18"/>
  <c r="W27" i="18"/>
  <c r="P35" i="18"/>
  <c r="E6" i="19"/>
  <c r="E30" i="19"/>
  <c r="AE2" i="17"/>
  <c r="H6" i="17"/>
  <c r="W68" i="17"/>
  <c r="X18" i="18"/>
  <c r="AA42" i="18"/>
  <c r="J4" i="11"/>
  <c r="J17" i="11" s="1"/>
  <c r="X29" i="18"/>
  <c r="X60" i="17"/>
  <c r="W45" i="18"/>
  <c r="O58" i="18"/>
  <c r="F17" i="11"/>
  <c r="G17" i="11" s="1"/>
  <c r="C19" i="11"/>
  <c r="C23" i="11" s="1"/>
  <c r="Y59" i="18"/>
  <c r="H62" i="9"/>
  <c r="J62" i="9" s="1"/>
  <c r="L61" i="9"/>
  <c r="Y64" i="17"/>
  <c r="Y25" i="18"/>
  <c r="P29" i="17"/>
  <c r="P45" i="18"/>
  <c r="I20" i="18"/>
  <c r="I8" i="18" s="1"/>
  <c r="U8" i="18"/>
  <c r="Y18" i="17"/>
  <c r="Y50" i="17"/>
  <c r="Y84" i="17"/>
  <c r="X9" i="17"/>
  <c r="Y12" i="17"/>
  <c r="W59" i="18"/>
  <c r="F16" i="12"/>
  <c r="F8" i="12"/>
  <c r="I31" i="10"/>
  <c r="K28" i="10"/>
  <c r="W12" i="18"/>
  <c r="W16" i="18"/>
  <c r="W16" i="17"/>
  <c r="W21" i="17"/>
  <c r="W41" i="17"/>
  <c r="Y55" i="17"/>
  <c r="AD26" i="17"/>
  <c r="AD6" i="17" s="1"/>
  <c r="X79" i="17"/>
  <c r="G21" i="11"/>
  <c r="E11" i="11"/>
  <c r="E15" i="11"/>
  <c r="B30" i="19"/>
  <c r="F11" i="19"/>
  <c r="D8" i="19"/>
  <c r="K33" i="8"/>
  <c r="I36" i="8"/>
  <c r="I25" i="8"/>
  <c r="J42" i="9"/>
  <c r="J11" i="4"/>
  <c r="J35" i="9"/>
  <c r="L35" i="9"/>
  <c r="F7" i="19"/>
  <c r="H33" i="10"/>
  <c r="I33" i="10" s="1"/>
  <c r="X80" i="17"/>
  <c r="F13" i="12"/>
  <c r="K29" i="10"/>
  <c r="Y24" i="18"/>
  <c r="W52" i="18"/>
  <c r="X11" i="17"/>
  <c r="Y44" i="17"/>
  <c r="X63" i="17"/>
  <c r="X82" i="17"/>
  <c r="G8" i="11"/>
  <c r="E39" i="19"/>
  <c r="K36" i="8"/>
  <c r="K25" i="8"/>
  <c r="G35" i="9"/>
  <c r="J60" i="9"/>
  <c r="E28" i="19"/>
  <c r="W62" i="18"/>
  <c r="Y25" i="17"/>
  <c r="O31" i="18"/>
  <c r="I8" i="8"/>
  <c r="Y68" i="17"/>
  <c r="K13" i="11"/>
  <c r="Y28" i="18"/>
  <c r="Y29" i="17"/>
  <c r="X45" i="18"/>
  <c r="Y62" i="18"/>
  <c r="G16" i="11"/>
  <c r="L34" i="9"/>
  <c r="D17" i="19"/>
  <c r="J34" i="9"/>
  <c r="G4" i="11"/>
  <c r="Y61" i="18"/>
  <c r="Y19" i="18"/>
  <c r="Q49" i="18"/>
  <c r="V20" i="17"/>
  <c r="X50" i="17"/>
  <c r="Y16" i="17"/>
  <c r="AA56" i="18"/>
  <c r="AA53" i="18" s="1"/>
  <c r="F10" i="12"/>
  <c r="W46" i="18"/>
  <c r="G9" i="11"/>
  <c r="D18" i="19"/>
  <c r="E25" i="19"/>
  <c r="L40" i="9"/>
  <c r="J43" i="9"/>
  <c r="J41" i="9"/>
  <c r="G41" i="26"/>
  <c r="G42" i="26" s="1"/>
  <c r="E69" i="19"/>
  <c r="F53" i="8"/>
  <c r="F41" i="8"/>
  <c r="H16" i="9"/>
  <c r="H70" i="9"/>
  <c r="F37" i="10"/>
  <c r="F23" i="10"/>
  <c r="F23" i="11"/>
  <c r="G23" i="11" s="1"/>
  <c r="G19" i="11"/>
  <c r="I18" i="8"/>
  <c r="H20" i="8"/>
  <c r="I39" i="8"/>
  <c r="D6" i="19"/>
  <c r="L26" i="9"/>
  <c r="K68" i="9"/>
  <c r="L68" i="9" s="1"/>
  <c r="I15" i="9"/>
  <c r="J9" i="9"/>
  <c r="J7" i="26"/>
  <c r="I9" i="26"/>
  <c r="G16" i="9"/>
  <c r="G70" i="9"/>
  <c r="F20" i="12"/>
  <c r="G41" i="8"/>
  <c r="E7" i="11"/>
  <c r="E5" i="11"/>
  <c r="H35" i="10"/>
  <c r="F20" i="19"/>
  <c r="E6" i="11"/>
  <c r="K8" i="11"/>
  <c r="K15" i="11"/>
  <c r="J16" i="11"/>
  <c r="E50" i="19"/>
  <c r="E49" i="19"/>
  <c r="G58" i="19"/>
  <c r="G61" i="19" s="1"/>
  <c r="G63" i="19" s="1"/>
  <c r="I64" i="9"/>
  <c r="I26" i="9"/>
  <c r="G22" i="10"/>
  <c r="D7" i="19"/>
  <c r="D24" i="19" s="1"/>
  <c r="G12" i="11"/>
  <c r="F5" i="12"/>
  <c r="E9" i="11"/>
  <c r="K11" i="11"/>
  <c r="E4" i="11"/>
  <c r="E17" i="11" s="1"/>
  <c r="E14" i="11"/>
  <c r="G35" i="10"/>
  <c r="K35" i="10" s="1"/>
  <c r="F57" i="8"/>
  <c r="M62" i="8" s="1"/>
  <c r="H64" i="9"/>
  <c r="L64" i="9" s="1"/>
  <c r="L20" i="9"/>
  <c r="K62" i="9"/>
  <c r="I25" i="26"/>
  <c r="K4" i="11"/>
  <c r="K17" i="11" s="1"/>
  <c r="F59" i="8"/>
  <c r="C16" i="19"/>
  <c r="F8" i="19"/>
  <c r="I38" i="9"/>
  <c r="J38" i="9" s="1"/>
  <c r="C24" i="19"/>
  <c r="F20" i="11"/>
  <c r="G20" i="11" s="1"/>
  <c r="J11" i="11"/>
  <c r="G37" i="8"/>
  <c r="K37" i="8" s="1"/>
  <c r="J7" i="9"/>
  <c r="E51" i="19" l="1"/>
  <c r="AA6" i="17"/>
  <c r="AA2" i="17" s="1"/>
  <c r="K27" i="26"/>
  <c r="L27" i="26" s="1"/>
  <c r="Q6" i="17"/>
  <c r="P31" i="18"/>
  <c r="Q31" i="18"/>
  <c r="F54" i="8"/>
  <c r="F63" i="8" s="1"/>
  <c r="D25" i="19"/>
  <c r="G29" i="26"/>
  <c r="F30" i="19"/>
  <c r="AD2" i="17"/>
  <c r="AB2" i="17"/>
  <c r="AF2" i="17"/>
  <c r="AA3" i="18"/>
  <c r="AC3" i="18"/>
  <c r="AA31" i="18"/>
  <c r="AB3" i="18"/>
  <c r="AA8" i="18"/>
  <c r="P6" i="17"/>
  <c r="Y53" i="18"/>
  <c r="F28" i="19"/>
  <c r="F61" i="19"/>
  <c r="F63" i="19" s="1"/>
  <c r="E61" i="19"/>
  <c r="W58" i="18"/>
  <c r="Y58" i="18"/>
  <c r="X20" i="17"/>
  <c r="Y20" i="17"/>
  <c r="W31" i="18"/>
  <c r="F6" i="19"/>
  <c r="E23" i="19"/>
  <c r="Y8" i="18"/>
  <c r="O6" i="18"/>
  <c r="X58" i="18"/>
  <c r="P8" i="18"/>
  <c r="V6" i="17"/>
  <c r="Y35" i="18"/>
  <c r="L62" i="9"/>
  <c r="G51" i="26"/>
  <c r="V31" i="18"/>
  <c r="X31" i="18" s="1"/>
  <c r="D102" i="17"/>
  <c r="I27" i="26"/>
  <c r="J27" i="26" s="1"/>
  <c r="J25" i="26"/>
  <c r="I35" i="10"/>
  <c r="E70" i="19"/>
  <c r="E71" i="19" s="1"/>
  <c r="J9" i="26"/>
  <c r="I11" i="26"/>
  <c r="H22" i="8"/>
  <c r="I20" i="8"/>
  <c r="J26" i="9"/>
  <c r="I68" i="9"/>
  <c r="J68" i="9" s="1"/>
  <c r="J15" i="9"/>
  <c r="I37" i="8"/>
  <c r="H37" i="10"/>
  <c r="F16" i="19"/>
  <c r="D16" i="19"/>
  <c r="D23" i="19" s="1"/>
  <c r="G37" i="10"/>
  <c r="G23" i="10"/>
  <c r="J64" i="9"/>
  <c r="C23" i="19"/>
  <c r="AA6" i="18" l="1"/>
  <c r="X6" i="17"/>
  <c r="Y6" i="17"/>
  <c r="Y31" i="18"/>
  <c r="I29" i="26"/>
  <c r="J11" i="26"/>
  <c r="H41" i="8"/>
  <c r="I22" i="8"/>
  <c r="I70" i="9"/>
</calcChain>
</file>

<file path=xl/sharedStrings.xml><?xml version="1.0" encoding="utf-8"?>
<sst xmlns="http://schemas.openxmlformats.org/spreadsheetml/2006/main" count="1031" uniqueCount="536">
  <si>
    <t xml:space="preserve">Rozdíl příjmů a výdajů: </t>
  </si>
  <si>
    <t xml:space="preserve">Odvoz a likvidace materiálu ( skartace apod.)               </t>
  </si>
  <si>
    <t>plnění</t>
  </si>
  <si>
    <t>Odbor</t>
  </si>
  <si>
    <t>par.</t>
  </si>
  <si>
    <t>pol.</t>
  </si>
  <si>
    <t>org.</t>
  </si>
  <si>
    <t>1.</t>
  </si>
  <si>
    <t>Vybavení kanceláří - ventilátory</t>
  </si>
  <si>
    <t>Životní prostředí</t>
  </si>
  <si>
    <t>Zdravotnictví a sociální věci</t>
  </si>
  <si>
    <t>Kultura a cestovní ruch</t>
  </si>
  <si>
    <t>z toho ÚZ 98250:</t>
  </si>
  <si>
    <t>z toho čistý FRR:</t>
  </si>
  <si>
    <t xml:space="preserve">Převod dle schválených RO na ZM  </t>
  </si>
  <si>
    <t>Hospodaření s účelově vázanými prostředky</t>
  </si>
  <si>
    <t>na opravy bytů a bytových domů /ÚZ 5/:</t>
  </si>
  <si>
    <t>Financování</t>
  </si>
  <si>
    <t>Opravy a údržba - MDDM a SMPř</t>
  </si>
  <si>
    <t xml:space="preserve"> Rozdíl P - V běžné</t>
  </si>
  <si>
    <t>Činnost místní správy</t>
  </si>
  <si>
    <t>Plnění</t>
  </si>
  <si>
    <t>běžné</t>
  </si>
  <si>
    <t>3e</t>
  </si>
  <si>
    <t>Odborné knihy, brožury, předplatné novin a časopisů</t>
  </si>
  <si>
    <t xml:space="preserve">plnění </t>
  </si>
  <si>
    <t>Poplatky</t>
  </si>
  <si>
    <t xml:space="preserve">2. MŠ Halasova 765 - financování přímých neinvestičních výdajů   /ÚZ 33 353/   </t>
  </si>
  <si>
    <t xml:space="preserve">5. MŠ - příspěvek na provoz                                                                          </t>
  </si>
  <si>
    <t>3.2.1.1.</t>
  </si>
  <si>
    <t xml:space="preserve">3. MŠ Masarykova 1195 - financování přímých neinvestičních výdajů   /ÚZ 33 353/   </t>
  </si>
  <si>
    <t>Úhrada za výkon určenému lékaři na vydávání posudků k výkonu civilní služby</t>
  </si>
  <si>
    <t>Příspěvek do Euroregia Egrensis</t>
  </si>
  <si>
    <t>Refundace mezd hrazené jiným organizacím</t>
  </si>
  <si>
    <t xml:space="preserve">Příspěvek do Sdružení hist.sídel Čech, Moravy a Slezska  </t>
  </si>
  <si>
    <t xml:space="preserve">e)   výdaje za opravy a údržbu                          </t>
  </si>
  <si>
    <t xml:space="preserve">2. MŠ - příspěvek na provoz   </t>
  </si>
  <si>
    <t>f)   rozdíl ( b-d-e )</t>
  </si>
  <si>
    <t>Použitelné prostředky fondu v r.2002:</t>
  </si>
  <si>
    <t>Velké investiční akce a opravy pro r.2002</t>
  </si>
  <si>
    <t>OF</t>
  </si>
  <si>
    <t xml:space="preserve">Financování - převod z FRB  do rozpočtu ( ÚZ  922 42 )  </t>
  </si>
  <si>
    <t xml:space="preserve">1.ZŠ - opravy a údržba </t>
  </si>
  <si>
    <t xml:space="preserve">3.ZŠ - opravy a údržba </t>
  </si>
  <si>
    <t xml:space="preserve">4.ZŠ - opravy a údržba </t>
  </si>
  <si>
    <t>7. MŠ zahrada a její vybavení</t>
  </si>
  <si>
    <t>Výdaje fondu v r.2001</t>
  </si>
  <si>
    <t>Saldo fondu:</t>
  </si>
  <si>
    <t xml:space="preserve">Pracovní oděvy </t>
  </si>
  <si>
    <t xml:space="preserve">Balíčky pro jubilanty města </t>
  </si>
  <si>
    <t>FOND ROZVOJE BYDLENÍ /ÚZ 2/</t>
  </si>
  <si>
    <t>Výhled plnění</t>
  </si>
  <si>
    <t>Druh příjmů</t>
  </si>
  <si>
    <t>v tis. Kč</t>
  </si>
  <si>
    <t>v %</t>
  </si>
  <si>
    <t xml:space="preserve">za </t>
  </si>
  <si>
    <t>PSER</t>
  </si>
  <si>
    <t>vedoucí OF</t>
  </si>
  <si>
    <t>Vyregulování otopné soustavy v č.p. 1329-1331 (64 bj.) ul. Lidická</t>
  </si>
  <si>
    <t>1399.</t>
  </si>
  <si>
    <t>ŽP</t>
  </si>
  <si>
    <t>MK</t>
  </si>
  <si>
    <t>KCR</t>
  </si>
  <si>
    <t>ŠTVČ</t>
  </si>
  <si>
    <t>4. ZŠ - oprava WC budova a tělocvična (150 tis. Kč)</t>
  </si>
  <si>
    <t>FOND ROZVOJE BYDLENÍ /ÚZ 922 42/ - prostředky od SFRB ČR</t>
  </si>
  <si>
    <t>6310</t>
  </si>
  <si>
    <t>OMM</t>
  </si>
  <si>
    <t>Poč.prac.:</t>
  </si>
  <si>
    <t>Celkem MěÚ:</t>
  </si>
  <si>
    <t>Samospráva:</t>
  </si>
  <si>
    <t>Obnova klášterní ohradní zdi - východní a jižní část - 1.029 tis. Kč - ORJ 14</t>
  </si>
  <si>
    <t>Projektová dokumentace - 30 tis. Kč - ORJ 14</t>
  </si>
  <si>
    <t>Inženýrská činnost - 1.140 tis. Kč - ORJ 14</t>
  </si>
  <si>
    <t>v %:</t>
  </si>
  <si>
    <t>Vyregulování otopné soustavy v č.p. 1029-1035 (56 bj.) ul. Brigádnická</t>
  </si>
  <si>
    <t>Rozdíl příjmů a výdajů:</t>
  </si>
  <si>
    <t>DPPO</t>
  </si>
  <si>
    <t>MŠ - herní prvky (pískoviště)</t>
  </si>
  <si>
    <t>Financování:</t>
  </si>
  <si>
    <t>Výměna vadných kabelových propojek mazi pasivními prvky a připojovacími konektory zemních kabelů</t>
  </si>
  <si>
    <t>Skut.2002</t>
  </si>
  <si>
    <t>SR 2003</t>
  </si>
  <si>
    <t>Fond budoucnosti  /ÚZ  4/</t>
  </si>
  <si>
    <t xml:space="preserve">Úroky z prodeje bytů na splátky - prodávaných dle Zásad </t>
  </si>
  <si>
    <t>Mandátní odměna za správu nebytových prostor v č.p. 715</t>
  </si>
  <si>
    <t>Příspěvek na školství v roce 2005</t>
  </si>
  <si>
    <t>Příspěvek</t>
  </si>
  <si>
    <t>Úprava</t>
  </si>
  <si>
    <t>Zvýšení</t>
  </si>
  <si>
    <t>Účelově vázané finanční prostředky pod účelovým znakem ÚZ 5</t>
  </si>
  <si>
    <t xml:space="preserve">Financování - převod z FRR do rozpočtu pod ÚZ 5:  </t>
  </si>
  <si>
    <t>Celkové příjmy ÚZ 5:</t>
  </si>
  <si>
    <t xml:space="preserve">Opravy dětských hřišť - místní části  </t>
  </si>
  <si>
    <t>Daň z příjmů právnických osob placená obcí</t>
  </si>
  <si>
    <t>1. ZŠ - PD rekonstrukce bazénu (první a druhá etapa )</t>
  </si>
  <si>
    <t>Vodné a stočné - klášter / ÚZ 2/ ( 20 tis. Kč )</t>
  </si>
  <si>
    <t xml:space="preserve">Úhrada neinvest. nákladů za dojíždění žáků do ZŠ v okolních obcích (rozpis na pol.5901)           </t>
  </si>
  <si>
    <t xml:space="preserve">1. ZŠ - příspěvek na provoz školy    </t>
  </si>
  <si>
    <t>Celkové příjmy FB (bez financování):</t>
  </si>
  <si>
    <t xml:space="preserve"> Odbor finanční celkem:</t>
  </si>
  <si>
    <t>Odbor KS celkem:</t>
  </si>
  <si>
    <t>Projekt Historický Ostrov celkem</t>
  </si>
  <si>
    <t>Etapa:</t>
  </si>
  <si>
    <t>Úroky z půjčky VSOZČ / ÚZ 4 /</t>
  </si>
  <si>
    <t>Snížení výdajů v rozpočtu města pro rok 2006:</t>
  </si>
  <si>
    <t>Stav fondu k 1. 1. 2006</t>
  </si>
  <si>
    <t>Stav k 1. 1. 2006</t>
  </si>
  <si>
    <t>Rozdíl P - V FB /ÚZ 4/</t>
  </si>
  <si>
    <t>FRB /ÚZ 2/ bez financování</t>
  </si>
  <si>
    <t>FB /ÚZ 4/   bez financování</t>
  </si>
  <si>
    <t>Použití příspěvků na výkon státní správy a na výkon státní správy pro obce s rozšířenou působností v roce 2005</t>
  </si>
  <si>
    <t>Poplatky za provoz televizí a rádií</t>
  </si>
  <si>
    <t>2. MŠ zahrada a její vybavení</t>
  </si>
  <si>
    <t>3. MŠ zahrada a její vybavení</t>
  </si>
  <si>
    <t>5. MŠ zahrada a její vybavení</t>
  </si>
  <si>
    <t>6. MŠ zahrada a její vybavení</t>
  </si>
  <si>
    <t>Oprava a udržování telefonních ústředen</t>
  </si>
  <si>
    <t>k 30.6.2003</t>
  </si>
  <si>
    <t>r.2003</t>
  </si>
  <si>
    <t xml:space="preserve">           Ing. Jiří Bárnet</t>
  </si>
  <si>
    <t xml:space="preserve">    vedoucí OF</t>
  </si>
  <si>
    <t xml:space="preserve">     a ostatní výdaje</t>
  </si>
  <si>
    <t xml:space="preserve">Poradenská činnost </t>
  </si>
  <si>
    <t xml:space="preserve">Ozvučení ZM  </t>
  </si>
  <si>
    <t>k 24.5.2005</t>
  </si>
  <si>
    <t>Výdaje z finančních operací</t>
  </si>
  <si>
    <t>Nákup tiskopisů a materiálu pro výrobu dokladů OP, CP, ŘP</t>
  </si>
  <si>
    <t>7. MŠ - oprava terasy (levá část objektu)</t>
  </si>
  <si>
    <t xml:space="preserve">Druh výdajů </t>
  </si>
  <si>
    <t>Zůstatek:</t>
  </si>
  <si>
    <t>Rozdíl P - V FRB /ÚZ 2/</t>
  </si>
  <si>
    <t xml:space="preserve">3. MŠ - příspěvek na provoz                                                                          </t>
  </si>
  <si>
    <t>Zbývající finanční prostředky ve fondu PRP pro r.2002:</t>
  </si>
  <si>
    <t xml:space="preserve">        Ing.Jiří Bárnet</t>
  </si>
  <si>
    <t>P5</t>
  </si>
  <si>
    <t>Elektrická energie v budově MěÚ</t>
  </si>
  <si>
    <t>Přijaté dotace</t>
  </si>
  <si>
    <t xml:space="preserve">Poplatky </t>
  </si>
  <si>
    <t>k 30.4.2005</t>
  </si>
  <si>
    <t>schválen</t>
  </si>
  <si>
    <t>upraven</t>
  </si>
  <si>
    <t>Opravy bytů a bytových domů v roce 2006 /ÚZ 5/</t>
  </si>
  <si>
    <t xml:space="preserve">Dary obyvatelstvu - první občánek </t>
  </si>
  <si>
    <t>Soc. fond - půjčky a návratné finanční výpomoci zaměstnancům MěÚ /ÚZ 1913/</t>
  </si>
  <si>
    <t>3c</t>
  </si>
  <si>
    <t>Architektonické a urbanistické studie, projekty  EU, studie proveditelnosti a vlivu na ŽP- FB ( ÚZ 4)</t>
  </si>
  <si>
    <t>Osazení informačmích tabulí V.etapa</t>
  </si>
  <si>
    <t xml:space="preserve"> OI celkem:</t>
  </si>
  <si>
    <t xml:space="preserve">Základní mzdy zaměstnanců MěÚ </t>
  </si>
  <si>
    <t xml:space="preserve">Financování - převod z FRB do rozpočtu  </t>
  </si>
  <si>
    <t>Celkové příjmy FRB:</t>
  </si>
  <si>
    <t>Čerpání</t>
  </si>
  <si>
    <t>Aktuální</t>
  </si>
  <si>
    <t>Hospodaření s prostředky Fondu rezerv a rozvoje  (FRR) k  v tis. Kč:</t>
  </si>
  <si>
    <t>Celkem FRR:</t>
  </si>
  <si>
    <t xml:space="preserve">Příplatky za vedení a zvláštní příplatky zaměstnanců MěÚ </t>
  </si>
  <si>
    <t>SR 2005</t>
  </si>
  <si>
    <t>UR 2005</t>
  </si>
  <si>
    <t>4.</t>
  </si>
  <si>
    <t>5.</t>
  </si>
  <si>
    <t xml:space="preserve">1. ZŠ - příspěvek na provoz   bazénu </t>
  </si>
  <si>
    <t xml:space="preserve">1. ZŠ - příspěvek na provoz   hřiště </t>
  </si>
  <si>
    <t xml:space="preserve">3. ZŠ - příspěvek na provoz     </t>
  </si>
  <si>
    <t>SPRMO</t>
  </si>
  <si>
    <t>1.1.2.1.</t>
  </si>
  <si>
    <t>3.2.1.2.</t>
  </si>
  <si>
    <t>I.etapa</t>
  </si>
  <si>
    <t>II.etapa</t>
  </si>
  <si>
    <t>III.etapa</t>
  </si>
  <si>
    <t>IV.etapa</t>
  </si>
  <si>
    <t>V.etapa</t>
  </si>
  <si>
    <t>UR 2003</t>
  </si>
  <si>
    <t xml:space="preserve">Program finanční podpory bytové výstavby - investiční dotace fyzickým osobám </t>
  </si>
  <si>
    <t>Rekonstrukce odpadů</t>
  </si>
  <si>
    <t xml:space="preserve">1. ZŠ Masarykova 1289 - financování přímých neinvestičních výdajů   /ÚZ 33 353/   </t>
  </si>
  <si>
    <t>Celkové příjmy ÚZ 5 (bez financování):</t>
  </si>
  <si>
    <t>Celkové výdaje ÚZ 5:</t>
  </si>
  <si>
    <t>b) příjmy z nájmu bytů a ostatní příjmy</t>
  </si>
  <si>
    <t>z toho:</t>
  </si>
  <si>
    <t>c)  výdaje RK celkem</t>
  </si>
  <si>
    <t xml:space="preserve">d)  výdaje za nezúčtovatelné služby </t>
  </si>
  <si>
    <t>Rozdíl příjmů a výdajů ÚZ 5:</t>
  </si>
  <si>
    <t>Příjmy z  dividend - od Ostrovské teplárenské, a.s. / ÚZ 4 /</t>
  </si>
  <si>
    <t>Sociální fond - příspěvky zaměstnancům na penzijní připojištění a na rekreaci /ÚZ 1913/</t>
  </si>
  <si>
    <t xml:space="preserve">Právní služby (včetně soudních poplatků - byty spravované RK) </t>
  </si>
  <si>
    <t>9.</t>
  </si>
  <si>
    <t>Obnova klášterní ohradní zdi - východní a jižní část -  ORJ 14</t>
  </si>
  <si>
    <t>Komunikace a zpevněné plochy - I.etapa - 7.500  tis. Kč - SO 09 - ORJ 14</t>
  </si>
  <si>
    <t>Pamětní deska - 0 tis. Kč - ORJ  14</t>
  </si>
  <si>
    <t>Hospodaření s prostředky Fondu budoucnosti (FB) k  v tis. Kč:</t>
  </si>
  <si>
    <t>FB /ÚZ 4/</t>
  </si>
  <si>
    <t xml:space="preserve"> Příjmy a  výdaje v roce 2006</t>
  </si>
  <si>
    <t>Celkem školství:</t>
  </si>
  <si>
    <t>Poskytnutí půjčky Sdružení Krušné hory – západ ve výši 622.500,-- Kč  s garantovanou smluvní návratností v plné výši - ÚZ 5</t>
  </si>
  <si>
    <t>Opravy  a údržba ZUŠ</t>
  </si>
  <si>
    <t>Sociální fond - příspěvek  na stravování zaměstnanců MěÚ (4,-- Kč/oběd) /ÚZ 1913/</t>
  </si>
  <si>
    <t>Příspěvek zaměstnavatele na stravování zam. MěÚ (16,-- Kč/oběd)</t>
  </si>
  <si>
    <t xml:space="preserve">MDDM - příspěvek na provoz                                                                           </t>
  </si>
  <si>
    <t xml:space="preserve"> Rozdíl P - V kapitálové</t>
  </si>
  <si>
    <t>Ostatní nespecifikované náklady - 10 tis. Kč - ORJ 14</t>
  </si>
  <si>
    <t>Nákup karet CCS</t>
  </si>
  <si>
    <t>UR 2006</t>
  </si>
  <si>
    <t xml:space="preserve">Cestovné a související náklady </t>
  </si>
  <si>
    <t xml:space="preserve">Služby pošt - frankovací stroj, poukázky sociálních dávek, schránka  </t>
  </si>
  <si>
    <t>SR 2006</t>
  </si>
  <si>
    <t>Nástupní lékařské prohlídky</t>
  </si>
  <si>
    <t>Daně z příjmů fyzických osob</t>
  </si>
  <si>
    <t>Daně z příjmů právnických osob</t>
  </si>
  <si>
    <t>Příjmy FRB včetně financování - OMM a OF:</t>
  </si>
  <si>
    <t>OV</t>
  </si>
  <si>
    <t>OSVZ</t>
  </si>
  <si>
    <t>OSPO</t>
  </si>
  <si>
    <t>OŽÚ</t>
  </si>
  <si>
    <t>Výdaje fondu v r.2002:</t>
  </si>
  <si>
    <t>Závodní preventivní péče</t>
  </si>
  <si>
    <t xml:space="preserve">ZUŠ Masarykova - financování přímých neinvestičních výdajů   /ÚZ 33 353/   </t>
  </si>
  <si>
    <t xml:space="preserve">Osobní příplatky a mimořádné odměny zaměstnanců MěÚ </t>
  </si>
  <si>
    <t>Ostatní osobní výdaje - dohody o provedení práce nebo činnosti</t>
  </si>
  <si>
    <t>Poplatky za správu portfolia města</t>
  </si>
  <si>
    <t>Celkové výdaje FRB:</t>
  </si>
  <si>
    <t xml:space="preserve">4. ZŠ  Klínovecká 1197 - financování přímých neinvestičních výdajů   /ÚZ 33 353/   </t>
  </si>
  <si>
    <t>Informatika</t>
  </si>
  <si>
    <t>Půjčky a dotace z FRB v r.2002:</t>
  </si>
  <si>
    <t>Nátěr oken</t>
  </si>
  <si>
    <t xml:space="preserve"> Upravený </t>
  </si>
  <si>
    <t>Správa majetku města</t>
  </si>
  <si>
    <t>2.</t>
  </si>
  <si>
    <t xml:space="preserve">Program finanční  podpory bytové výstavby - úročené půjčky na opravy střech bytových domů </t>
  </si>
  <si>
    <t>OMM celkem:</t>
  </si>
  <si>
    <t xml:space="preserve">MDDM Školní 231 - financování přímých neinvestičních výdajů   /ÚZ 33 353/   </t>
  </si>
  <si>
    <t>Příjmy FRB bez financování - OMM:</t>
  </si>
  <si>
    <t>na výkon státní správy</t>
  </si>
  <si>
    <t>Propojení</t>
  </si>
  <si>
    <t xml:space="preserve"> Příjmy /v tis. Kč/</t>
  </si>
  <si>
    <t xml:space="preserve"> Schválený </t>
  </si>
  <si>
    <t>Finanční prostředky ve FRB pro rok 2002:</t>
  </si>
  <si>
    <r>
      <t xml:space="preserve">Splátky nízkoúročených půjček na opravy a modernizace bytového fondu  </t>
    </r>
    <r>
      <rPr>
        <i/>
        <sz val="11"/>
        <rFont val="Arial CE"/>
        <family val="2"/>
        <charset val="238"/>
      </rPr>
      <t>( prostředky SFRB )</t>
    </r>
  </si>
  <si>
    <r>
      <t xml:space="preserve">Úroky (3%) z nízkoúročených půjček na opravy a modernizace bytového fondu </t>
    </r>
    <r>
      <rPr>
        <i/>
        <sz val="11"/>
        <rFont val="Arial CE"/>
        <family val="2"/>
        <charset val="238"/>
      </rPr>
      <t>( půjčka od SFRB )</t>
    </r>
  </si>
  <si>
    <t>Vyregulování otopné soustavy v č.p. 1353-1356 (68 bj.) ul. Lidická</t>
  </si>
  <si>
    <t>Vyregulování otopné soustavy v č.p. 859-864 (38 bj.) ul. Hlavní</t>
  </si>
  <si>
    <t>Sociální  pojištění (26% z položek 5011, 5499)</t>
  </si>
  <si>
    <t>Zdravotní pojištění (9% z položek 5011,  5499)</t>
  </si>
  <si>
    <t>SR-běžné</t>
  </si>
  <si>
    <t>SR-kapitál.</t>
  </si>
  <si>
    <t>Nákup pozemků od PF ČR - II.etapa PZO a poz.dle úz. pl.</t>
  </si>
  <si>
    <t>Povinné pojistné placené zaměstnavatelem (4,2 promile z pol. 5011,  5021,  5023)</t>
  </si>
  <si>
    <t>Převod do rozpočtu k 30. 6. 2006</t>
  </si>
  <si>
    <t>Příjmy k 30. 6. 2006</t>
  </si>
  <si>
    <t>Výdaje k 30. 6. 2006</t>
  </si>
  <si>
    <t>Zůstatek k 30. 6. 2006</t>
  </si>
  <si>
    <t xml:space="preserve">Stav k 30. 6. 2006 </t>
  </si>
  <si>
    <t>Převod z FRR do rozpočtu k 30. 6. 2006</t>
  </si>
  <si>
    <t>Nákup komunikace pro výstavbu RD - IV.zahrádkářská osada</t>
  </si>
  <si>
    <t>OŽP</t>
  </si>
  <si>
    <t xml:space="preserve">3. ZŠ Májová 997 - financování přímých neinvestičních výdajů   /ÚZ 33 353/   </t>
  </si>
  <si>
    <t>Stav fondu k 1. 1. 2001</t>
  </si>
  <si>
    <t>Příjmy fondu v r.2001 (bez financování)</t>
  </si>
  <si>
    <t>Výměna topných ventilů</t>
  </si>
  <si>
    <t>Kancelářské prostředky</t>
  </si>
  <si>
    <t>Voda v budově MěÚ</t>
  </si>
  <si>
    <t>Pára - teplo v budově MěÚ</t>
  </si>
  <si>
    <t xml:space="preserve"> Čerpání oproti  </t>
  </si>
  <si>
    <t xml:space="preserve"> Rozdíl P - V celkem</t>
  </si>
  <si>
    <t>Výroční svatební obřady - pohoštění</t>
  </si>
  <si>
    <t>6.</t>
  </si>
  <si>
    <t>% plnění</t>
  </si>
  <si>
    <t>Nájemné Škoda - vstupní hala (včetně služeb - úklid, otop, el. energie)</t>
  </si>
  <si>
    <t xml:space="preserve">Úroky (4%) z půjček na opravy střech </t>
  </si>
  <si>
    <t>0000</t>
  </si>
  <si>
    <t>Znalecké posudky ve správním řízení</t>
  </si>
  <si>
    <t>Pohonné hmoty a mazadla</t>
  </si>
  <si>
    <t xml:space="preserve">7. MŠ - příspěvek na provoz   </t>
  </si>
  <si>
    <t>Publicita ( projekt Historický Ostrov ) - zhotovení bilboardu - ORJ 3 f</t>
  </si>
  <si>
    <t>Celkové příjmy FB:</t>
  </si>
  <si>
    <t>Celkem příspěvky na provoz:</t>
  </si>
  <si>
    <t>Státní správa:</t>
  </si>
  <si>
    <t>Sociální fond - kulturní a sportovní činnost /ÚZ 1913/</t>
  </si>
  <si>
    <t>OMRM</t>
  </si>
  <si>
    <t>Obnova Kapličky Panny Marie Bolestné -  ORJ 14</t>
  </si>
  <si>
    <t>Základní umělecká škola</t>
  </si>
  <si>
    <t>s6</t>
  </si>
  <si>
    <t>Inzerce, zakázky, informační systém</t>
  </si>
  <si>
    <t>Odvoz TKO</t>
  </si>
  <si>
    <t>ÚZ</t>
  </si>
  <si>
    <t>v únoru</t>
  </si>
  <si>
    <t>Vybavení pro zkušebního komisaře</t>
  </si>
  <si>
    <t>Služby telekomunikací - telefonní poplatky</t>
  </si>
  <si>
    <t>Drobný materiál, tiskopisy, filmy, materiál pro údržbu, klíče</t>
  </si>
  <si>
    <t>Dań z převodu nemovitostí - byty prodávané podle Zásad</t>
  </si>
  <si>
    <t>Nákup pozemků pro silniční obchvat - Četrans, Škoda a.s.</t>
  </si>
  <si>
    <t xml:space="preserve">Příspěvek </t>
  </si>
  <si>
    <t>Občerstvení komisí města a návštěv odborů</t>
  </si>
  <si>
    <t>3g</t>
  </si>
  <si>
    <t xml:space="preserve">5. MŠ Palackého 1045 - financování přímých neinvestičních výdajů   /ÚZ 33 353/   </t>
  </si>
  <si>
    <t>Základní školy</t>
  </si>
  <si>
    <t>Ostatní osobní výdaje - dohody hasiči</t>
  </si>
  <si>
    <t xml:space="preserve">Financování - převod z FB do rozpočtu  </t>
  </si>
  <si>
    <t>Příjmy FB včetně financování:</t>
  </si>
  <si>
    <t>Příjmy FB bez financování:</t>
  </si>
  <si>
    <t>Projektová dokumentace pro II.etapu Průmyslové zóny Ostrov  – FB ( ÚZ 4 )</t>
  </si>
  <si>
    <t xml:space="preserve"> Druh  výdajů</t>
  </si>
  <si>
    <t>Příjmy z nájmu nebytových prostor</t>
  </si>
  <si>
    <t>Celkové výdaje FB:</t>
  </si>
  <si>
    <t>Hospodaření Fondu rozvoje bydlení města (FRB) k  v tis. Kč:</t>
  </si>
  <si>
    <t>MPO</t>
  </si>
  <si>
    <t>INFO</t>
  </si>
  <si>
    <t>ZSV</t>
  </si>
  <si>
    <t>INV</t>
  </si>
  <si>
    <t>SMM</t>
  </si>
  <si>
    <t>BH</t>
  </si>
  <si>
    <t>NH</t>
  </si>
  <si>
    <t>SÚ-ÚR</t>
  </si>
  <si>
    <t>VS-KS</t>
  </si>
  <si>
    <t>VFO</t>
  </si>
  <si>
    <t xml:space="preserve">Opravy dětských hřišť  a pískovišť - město </t>
  </si>
  <si>
    <t>Přenosy z jednání ZM v KTV</t>
  </si>
  <si>
    <t>Kapitálové příjmy</t>
  </si>
  <si>
    <t>čerpání</t>
  </si>
  <si>
    <t xml:space="preserve">par. </t>
  </si>
  <si>
    <t>Odbor investic celkem:</t>
  </si>
  <si>
    <t>13.</t>
  </si>
  <si>
    <t>Cestovné branců k odvodům vojenské služby</t>
  </si>
  <si>
    <t>3f</t>
  </si>
  <si>
    <t>Oprava a provoz aut MěÚ</t>
  </si>
  <si>
    <t>Nákup folií na výrobu dokladů</t>
  </si>
  <si>
    <t>Běžné příjmy - tř.1 a tř.2</t>
  </si>
  <si>
    <t>Druh příjmů:</t>
  </si>
  <si>
    <t>Skutečnost</t>
  </si>
  <si>
    <t>Daňové příjmy - tř.1</t>
  </si>
  <si>
    <t>Nedaňové příjmy  - tř.2</t>
  </si>
  <si>
    <t>Financování  schváleného rozpočtu pro rok 2006</t>
  </si>
  <si>
    <t>vybrané zálohy na služby v r.2006</t>
  </si>
  <si>
    <t>příjmy RK celkem (bez vybraných záloh na služby v r.2006)</t>
  </si>
  <si>
    <t>Celkem příjmy:</t>
  </si>
  <si>
    <t>Financování - 8</t>
  </si>
  <si>
    <t>Příjmy města Ostrov v roce 2005</t>
  </si>
  <si>
    <t>Struktura výdajů ve schváleném a v upraveném rozpočtu města pro rok 2005</t>
  </si>
  <si>
    <t>% čerpání</t>
  </si>
  <si>
    <t>Zkratka:</t>
  </si>
  <si>
    <t>Obor:</t>
  </si>
  <si>
    <t>14.</t>
  </si>
  <si>
    <t xml:space="preserve">2.MŠ-opravy a  údržba </t>
  </si>
  <si>
    <t xml:space="preserve">6. MŠ - financování přímých neinvestičních výdajů   /ÚZ 33 353/   </t>
  </si>
  <si>
    <t xml:space="preserve">7. MŠ Krušnohorská 766 - financování přímých neinvestičních výdajů   /ÚZ 33 353/   </t>
  </si>
  <si>
    <r>
      <t xml:space="preserve">Příjmy z prodeje nemovitostí mimo Zásady - půdní vestavby </t>
    </r>
    <r>
      <rPr>
        <i/>
        <sz val="11"/>
        <color indexed="10"/>
        <rFont val="Arial CE"/>
        <charset val="238"/>
      </rPr>
      <t xml:space="preserve"> </t>
    </r>
  </si>
  <si>
    <t>Dań z nemovitosti a doplatky daní</t>
  </si>
  <si>
    <t>Celkem:</t>
  </si>
  <si>
    <t>Místní komunikace</t>
  </si>
  <si>
    <t>Úroky ( 3%) z nízkoúročené půjčky na opravy a modernizace bytového fondu</t>
  </si>
  <si>
    <t>Vnitřní správa a kancelář starosty</t>
  </si>
  <si>
    <t>Čistící prostředky</t>
  </si>
  <si>
    <t>9a.</t>
  </si>
  <si>
    <t>Využití volného času dětí a mládeže</t>
  </si>
  <si>
    <t>Automobil pro MěÚ ( 500 tis. Kč z ÚZ 98250) bude znovu zapojeno po schvál.HV za r.2003  - 8.805 tis. Kč pod ÚZ 98250</t>
  </si>
  <si>
    <t xml:space="preserve">Aktuální </t>
  </si>
  <si>
    <t>Druh výdajů</t>
  </si>
  <si>
    <t xml:space="preserve">3.MŠ-opravy a  údržba </t>
  </si>
  <si>
    <t xml:space="preserve">5.MŠ-opravy a  údržba </t>
  </si>
  <si>
    <t xml:space="preserve">7.MŠ-opravy a  údržba </t>
  </si>
  <si>
    <t>Daň z nemov. a dopl.daní</t>
  </si>
  <si>
    <t>DPPO-placená obcí</t>
  </si>
  <si>
    <t>Dotace</t>
  </si>
  <si>
    <t>Nedaň.příjmy</t>
  </si>
  <si>
    <t>Nnebytové hospodářství</t>
  </si>
  <si>
    <t xml:space="preserve">Staveb.úřad a územ.rozvoj </t>
  </si>
  <si>
    <t>DPPO placená obcí</t>
  </si>
  <si>
    <t>Investice (památky, bydlení, inž.sítě )</t>
  </si>
  <si>
    <t>Školství, sport a volný čas</t>
  </si>
  <si>
    <t>Obnova klášterní ohradní zdi - západní část - 2.275 tis. Kč - ORJ 14</t>
  </si>
  <si>
    <t>Obnova Zámeckého parku - I., II., III. - 21.240 tis. Kč - ORJ 14</t>
  </si>
  <si>
    <t xml:space="preserve">Úroky z prodejů půdních vestaveb na splátky - mimo Zásady  </t>
  </si>
  <si>
    <t>Kapitálové příjmy - tř.3</t>
  </si>
  <si>
    <t>Přijaté dotace - tř.4</t>
  </si>
  <si>
    <t>z toho ÚZ 5:</t>
  </si>
  <si>
    <t>Sociální fond - elektrická energie za rekreační zařízení MěÚ /ÚZ 1913/</t>
  </si>
  <si>
    <t>Školení a vzdělávání zaměstnanců MěÚ</t>
  </si>
  <si>
    <t>DPH</t>
  </si>
  <si>
    <t>k 30.06.2006</t>
  </si>
  <si>
    <t>k 30.06.06</t>
  </si>
  <si>
    <t>Odbory SMM a ORÚP celkem:</t>
  </si>
  <si>
    <t xml:space="preserve"> k 30. 6. 2006</t>
  </si>
  <si>
    <t xml:space="preserve"> k  30. 6. 2006</t>
  </si>
  <si>
    <t>Publicita ( projekt Historický Ostrov ) - ORJ 3 f</t>
  </si>
  <si>
    <t>Obnova Kostela Zvěstování Panny Marie - 20.049 tis. Kč - ORJ 14</t>
  </si>
  <si>
    <t>Obnova Kaple sv. Floriána - 7.611 tis. Kč - ORJ 14</t>
  </si>
  <si>
    <t>Obnova Kapličky Panny Marie Bolestné - 282 tis. Kč - ORJ 14</t>
  </si>
  <si>
    <t>Obnova klášterní ohradní zdi - jižní část (u západní části) - 787 tis. Kč - ORJ 14</t>
  </si>
  <si>
    <t>Obnova Kaple sv. Anny - 8.833 tis. Kč - ORJ 14</t>
  </si>
  <si>
    <t>Obnova Glorietu - 1.895 tis. Kč - ORJ 14</t>
  </si>
  <si>
    <t>Plnění rozpočtu města za rok 2006</t>
  </si>
  <si>
    <t xml:space="preserve">Prodeje bytů dle Zásad - mandátní odměna  RK         </t>
  </si>
  <si>
    <t>Výsledek hospodaření realitních kanceláří za 1. - 6.měsíc  2006:</t>
  </si>
  <si>
    <t>V Ostrově dne  14. 7. 2006</t>
  </si>
  <si>
    <t>FINANC</t>
  </si>
  <si>
    <t>KAPITAL</t>
  </si>
  <si>
    <t>NEDAN</t>
  </si>
  <si>
    <t>DPPO-OB</t>
  </si>
  <si>
    <t>DN-DOPL</t>
  </si>
  <si>
    <t>Součet fin.prostředků fondu:</t>
  </si>
  <si>
    <t>Ponecháno ve fondu:</t>
  </si>
  <si>
    <t>Audit ( projekt Historický Ostrov ) - ORJ 6</t>
  </si>
  <si>
    <t>5. ZŠ - oprava hokejbalového hřiště-mantinely</t>
  </si>
  <si>
    <t>Odbor finanční celkem:</t>
  </si>
  <si>
    <t>zvýšení</t>
  </si>
  <si>
    <t>Upravený</t>
  </si>
  <si>
    <t xml:space="preserve">Příspěvek na provoz   ZUŠ              </t>
  </si>
  <si>
    <t>Městská policie Ostrov</t>
  </si>
  <si>
    <t>Splátky půjček</t>
  </si>
  <si>
    <t xml:space="preserve">Hospodaření s prostředky na podporu rozvoje podnikání (PRP) k 31. 12. 2001: </t>
  </si>
  <si>
    <t>VSOK</t>
  </si>
  <si>
    <t xml:space="preserve">Ostatní služby - klášter /ÚZ 2/  ( 82 tis. )                                                                                                   </t>
  </si>
  <si>
    <t>Nákup dálničních známek</t>
  </si>
  <si>
    <t>9c.</t>
  </si>
  <si>
    <t>Příjmy z prodeje bytů a bytových domů dle Zásad - přímé prodeje</t>
  </si>
  <si>
    <t>Nebytové hospodářství</t>
  </si>
  <si>
    <t>Papírové mapy katastrálních území (nezpracované digitálně)</t>
  </si>
  <si>
    <t>Nákup tiskopisů a materiálu pro myslivost</t>
  </si>
  <si>
    <t>Pořádání výstavy - myslivost</t>
  </si>
  <si>
    <t>Poskytnutí nízkoúročených účelových půjček vlastníkům bytových jednotek ( prostředky od SFRB ČR ) - ÚZ 92 242</t>
  </si>
  <si>
    <t>Příjmy FRB - ÚZ 922 42 bez financování - OMM:</t>
  </si>
  <si>
    <t>Celkové výdaje FRB - ÚZ 922 42:</t>
  </si>
  <si>
    <t>na výkon státní správy s rozšíř.působ.</t>
  </si>
  <si>
    <t xml:space="preserve">Příspěvek do Sdružení KHZ  </t>
  </si>
  <si>
    <t>Vybavení kanceláří - nábytek</t>
  </si>
  <si>
    <t>Předškolní zařízení - mateřské školy</t>
  </si>
  <si>
    <t>UR-běžné</t>
  </si>
  <si>
    <t>k 31.1.2004</t>
  </si>
  <si>
    <t>+/-</t>
  </si>
  <si>
    <t>kapitálové</t>
  </si>
  <si>
    <t>UR-kapitál.</t>
  </si>
  <si>
    <t>Pro rok 2003 vyčleněno z FRR na opravy bytů a bytových domů pod ÚZ 5 celkem:</t>
  </si>
  <si>
    <t>V roce 2003 čerpáno z FRR na opravy bytů a bytových domů pod ÚZ 5 celkem:</t>
  </si>
  <si>
    <t>Zbývá k čerpání v roce 2003 na opravy bytů a bytových domů pod ÚZ 5 celkem:</t>
  </si>
  <si>
    <t>Sociální fond - jednorázová finanční výpomoc k překlenutí tíživé sociální situace /ÚZ 1913/</t>
  </si>
  <si>
    <t>Sociální  pojištění (26% z pol. 5021 - dohody hasiči a ostatní)</t>
  </si>
  <si>
    <t>Zdravotní pojištění (9% z pol. 5021 - dohody hasiči a ostatní)</t>
  </si>
  <si>
    <t>Inzerce, zakázky (parkovné)</t>
  </si>
  <si>
    <t>Komerční  a zákonné pojištění aut MěÚ</t>
  </si>
  <si>
    <t xml:space="preserve">5. ZŠ - příspěvek na provoz    </t>
  </si>
  <si>
    <t>Vybavení kanceláří - varné konvice, záclony apod.</t>
  </si>
  <si>
    <t>Zbývá k čerpání v roce 2006:</t>
  </si>
  <si>
    <t>3b</t>
  </si>
  <si>
    <t xml:space="preserve">5. ZŠ J.V.Myslbeka - financování přímých neinvestičních výdajů   /ÚZ 33 353/   </t>
  </si>
  <si>
    <t>Stravenky pro zaměstnance MěÚ - peníze na cestě - průběžně nákup a úhrada od zaměstnanců (20,-- Kč/oběd)</t>
  </si>
  <si>
    <t xml:space="preserve">Opravy lina, elektroniky, vývěsní skřínky, revize, zasklívání oken, zárubní </t>
  </si>
  <si>
    <t xml:space="preserve">Elektronické zabezpečení MěÚ </t>
  </si>
  <si>
    <t>Údržba květinové výzdoby</t>
  </si>
  <si>
    <t xml:space="preserve"> Plnění oproti   </t>
  </si>
  <si>
    <t>rozpočet</t>
  </si>
  <si>
    <t xml:space="preserve">mezi SR </t>
  </si>
  <si>
    <t>upravenému</t>
  </si>
  <si>
    <t>a UR</t>
  </si>
  <si>
    <t>rozpočtu v %:</t>
  </si>
  <si>
    <t xml:space="preserve"> Celkem</t>
  </si>
  <si>
    <t xml:space="preserve"> Běžné</t>
  </si>
  <si>
    <t xml:space="preserve"> Kapitálové</t>
  </si>
  <si>
    <t>FRB /ÚZ 2/</t>
  </si>
  <si>
    <t xml:space="preserve"> </t>
  </si>
  <si>
    <t>Oprava střechy 1.ZŠ- III.etapa</t>
  </si>
  <si>
    <t>DPFO</t>
  </si>
  <si>
    <t>POPL</t>
  </si>
  <si>
    <t>SPLATKY</t>
  </si>
  <si>
    <t>DOTACE</t>
  </si>
  <si>
    <t xml:space="preserve">Platby daní z převodu nemovitostí - byty prodávané dle Zásad  </t>
  </si>
  <si>
    <t>Odbor ORÚP celkem:</t>
  </si>
  <si>
    <t>Sociální fond - finanční dary, pracovní a životní jubilea zaměstnanců MěÚ /ÚZ 1913/</t>
  </si>
  <si>
    <t xml:space="preserve">Prodej pozemků po IV.zahrádkářské osadě </t>
  </si>
  <si>
    <t xml:space="preserve">Příjmy z prodeje bytů a bytových domů dle Zásad - prodeje na splátky </t>
  </si>
  <si>
    <t xml:space="preserve">Audit hospodaření města, daňový poradce </t>
  </si>
  <si>
    <t>Bytové hospodářství</t>
  </si>
  <si>
    <t>celkem</t>
  </si>
  <si>
    <t xml:space="preserve">Rozdíl </t>
  </si>
  <si>
    <t xml:space="preserve"> Skutečnost</t>
  </si>
  <si>
    <t>Odbor MM celkem:</t>
  </si>
  <si>
    <t xml:space="preserve">a) příjmy RK celkem </t>
  </si>
  <si>
    <t>Daň z přidané hodnoty</t>
  </si>
  <si>
    <t>Nedaňové příjmy</t>
  </si>
  <si>
    <t>5.ZŠ - opravy a údržba včetně 6.MŠ (150 tis. Kč)</t>
  </si>
  <si>
    <t>Náhrady platů zaměstnavatelům při nástupu občana k výkonu civilní služby</t>
  </si>
  <si>
    <t>Oplocení pískovišť (5 ks město + 1ks Horní Žďár- za 35 tis. Kč nové)</t>
  </si>
  <si>
    <t xml:space="preserve">Penále z prodeje nemovitostí mimo Zásady - půdní vestavby </t>
  </si>
  <si>
    <t>ODS</t>
  </si>
  <si>
    <t>Investiční akce v r.2002</t>
  </si>
  <si>
    <t>Vyregulování otopné soustavy v č.p. 1347-1349 (62 bj.) ul. Lidická</t>
  </si>
  <si>
    <t xml:space="preserve"> Výdaje  /v tis. Kč/</t>
  </si>
  <si>
    <t>3a</t>
  </si>
  <si>
    <t>Slevy rodinám s nízkými příjmy</t>
  </si>
  <si>
    <t>Přijaté nekapitálové příspěvky a náhrady - vratky a nedoplatky z minulých let, náhrady škody - ÚZ 2</t>
  </si>
  <si>
    <t>1. ZŠ - rekonstrukce bazénu ( první etapa) - výměna bazénu + zázemí + TDO</t>
  </si>
  <si>
    <t>Zeleň - I.etapa - 2.700 tis. Kč - SO 17 - ORJ 14</t>
  </si>
  <si>
    <t>Ekocentrum - přípojka NN - 85 tis. Kč - SO 18 - ORJ 14</t>
  </si>
  <si>
    <t xml:space="preserve">Splátky úročených půjček na opravy střech  </t>
  </si>
  <si>
    <t xml:space="preserve">Splátky bezúročných půjček na podporu bydlení  </t>
  </si>
  <si>
    <t>Prodej bytů v r.2002 - odměna RK:</t>
  </si>
  <si>
    <t>%</t>
  </si>
  <si>
    <t>Demolice a bourací práce - 1.600 tis. Kč - SO 01 - ORJ 14</t>
  </si>
  <si>
    <t>Sanace  - 4.150 tis. Kč - SO 00 - ORJ 14</t>
  </si>
  <si>
    <t>Financování - splátky jistiny z nízkoúročené půjčky na opravy BF /ÚZ 92242/</t>
  </si>
  <si>
    <t>Inženýrské sítě  - I.etapa - 4.800 tis. Kč - SO 10, 11, 12, 13, 16 - ORJ 14</t>
  </si>
  <si>
    <t xml:space="preserve">4. ZŠ - příspěvek na provoz    </t>
  </si>
  <si>
    <t>Stav k 31 .12. 2001:</t>
  </si>
  <si>
    <t>Příjmy fondu v r.2002:</t>
  </si>
  <si>
    <t xml:space="preserve">Úhrada neinvest. nákladů za dojíždění žáků do ZŠ v okolních obcích (čerpání na pol.5321)           </t>
  </si>
  <si>
    <t>Výstavba Ekocentra - 10.200 tis. Kč - ORJ 14</t>
  </si>
  <si>
    <t>Odbor:</t>
  </si>
  <si>
    <t xml:space="preserve">Zpracoval: </t>
  </si>
  <si>
    <t>č.</t>
  </si>
  <si>
    <t>§</t>
  </si>
  <si>
    <t>ORJ.</t>
  </si>
  <si>
    <t>ORG</t>
  </si>
  <si>
    <t>POL</t>
  </si>
  <si>
    <t>UR po změně</t>
  </si>
  <si>
    <t>ROZPOČET v Kč</t>
  </si>
  <si>
    <t>návrh změny  +/-</t>
  </si>
  <si>
    <t xml:space="preserve">Datum vystavení: </t>
  </si>
  <si>
    <t xml:space="preserve">Za věcnou správnost: </t>
  </si>
  <si>
    <t xml:space="preserve">Příkazce operace: </t>
  </si>
  <si>
    <t>Název řádku:</t>
  </si>
  <si>
    <t>Schválený rozpočet   (SR)</t>
  </si>
  <si>
    <t>Upravený rozpočet 
(UR)</t>
  </si>
  <si>
    <t>Příjmy:</t>
  </si>
  <si>
    <t>Výdaje:</t>
  </si>
  <si>
    <t>3.</t>
  </si>
  <si>
    <t>Jméno a podpis</t>
  </si>
  <si>
    <t>(vždy vedoucí odboru)</t>
  </si>
  <si>
    <t xml:space="preserve">Zdůvodnění přesunu: </t>
  </si>
  <si>
    <t>O.Fricová</t>
  </si>
  <si>
    <t>Olga Fricová</t>
  </si>
  <si>
    <t>Finanční a školství</t>
  </si>
  <si>
    <t>Datum přijetí na OFŠ a podpis:</t>
  </si>
  <si>
    <t xml:space="preserve">Neinvestiční dotace z rozpočtu KUKK na podporu kulturních aktivit pro Dům kultury Ostrov. Dotace je poskytnuta na účel ,,Michalská pouť a Klášterní slavnosti na Starém nám. a v prostorách klášterní  zahrady" </t>
  </si>
  <si>
    <t xml:space="preserve">Převod  dotace  DK z rozpočtu KUKK,  na podporu kulturních aktivit pro Dům kultury Ostrov. Dotace je poskytnuta na účel:,,Michalská pouť a Klášterní slavnosti na Starém nám. a v prostorách klášterní  zahrady"  </t>
  </si>
  <si>
    <t xml:space="preserve">Odbor finanční a školství žádá o zařazení příjmů a výdajů do rozpočtu města na rok  2021  v celkové výši 50 000,00 Kč. Finanční prostředky jsou přijaty z rozpočtu  KUKK na účel: ,,Michalská pouť a Klášterní slavnosti na Starém nám. a v prostorách klášterní  zahrady"  </t>
  </si>
  <si>
    <t>Mgr. Vladimíra Macháčková</t>
  </si>
  <si>
    <t>RO č. 113/2021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</si>
</sst>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00"/>
    <numFmt numFmtId="165" formatCode="d/m/yy"/>
    <numFmt numFmtId="166" formatCode="0.0"/>
  </numFmts>
  <fonts count="50" x14ac:knownFonts="1">
    <font>
      <sz val="10"/>
      <name val="Arial CE"/>
      <charset val="238"/>
    </font>
    <font>
      <sz val="10"/>
      <name val="Arial CE"/>
      <charset val="238"/>
    </font>
    <font>
      <b/>
      <sz val="12"/>
      <name val="Arial CE"/>
      <family val="2"/>
      <charset val="238"/>
    </font>
    <font>
      <i/>
      <sz val="10"/>
      <name val="Arial CE"/>
      <family val="2"/>
      <charset val="238"/>
    </font>
    <font>
      <i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i/>
      <sz val="9"/>
      <name val="Arial CE"/>
      <family val="2"/>
      <charset val="238"/>
    </font>
    <font>
      <sz val="10"/>
      <color indexed="10"/>
      <name val="Arial CE"/>
      <family val="2"/>
      <charset val="238"/>
    </font>
    <font>
      <sz val="10"/>
      <name val="Arial CE"/>
      <family val="2"/>
      <charset val="238"/>
    </font>
    <font>
      <sz val="9"/>
      <name val="Arial CE"/>
      <charset val="238"/>
    </font>
    <font>
      <b/>
      <sz val="11"/>
      <name val="Arial CE"/>
      <family val="2"/>
      <charset val="238"/>
    </font>
    <font>
      <b/>
      <i/>
      <sz val="11"/>
      <name val="Arial CE"/>
      <family val="2"/>
      <charset val="238"/>
    </font>
    <font>
      <i/>
      <sz val="11"/>
      <name val="Arial CE"/>
      <family val="2"/>
      <charset val="238"/>
    </font>
    <font>
      <sz val="11"/>
      <name val="Arial CE"/>
      <family val="2"/>
      <charset val="238"/>
    </font>
    <font>
      <b/>
      <i/>
      <sz val="12"/>
      <name val="Arial CE"/>
      <family val="2"/>
      <charset val="238"/>
    </font>
    <font>
      <b/>
      <i/>
      <sz val="10"/>
      <name val="Arial CE"/>
      <family val="2"/>
      <charset val="238"/>
    </font>
    <font>
      <b/>
      <sz val="10"/>
      <name val="Arial CE"/>
      <charset val="238"/>
    </font>
    <font>
      <b/>
      <sz val="8"/>
      <name val="Arial CE"/>
      <family val="2"/>
      <charset val="238"/>
    </font>
    <font>
      <b/>
      <sz val="14"/>
      <name val="Arial CE"/>
      <family val="2"/>
      <charset val="238"/>
    </font>
    <font>
      <i/>
      <sz val="10"/>
      <color indexed="10"/>
      <name val="Arial CE"/>
      <family val="2"/>
      <charset val="238"/>
    </font>
    <font>
      <b/>
      <i/>
      <sz val="14"/>
      <name val="Arial CE"/>
      <family val="2"/>
      <charset val="238"/>
    </font>
    <font>
      <sz val="11"/>
      <name val="Arial CE"/>
      <charset val="238"/>
    </font>
    <font>
      <sz val="11"/>
      <name val="Times New Roman CE"/>
      <family val="1"/>
      <charset val="238"/>
    </font>
    <font>
      <sz val="11"/>
      <color indexed="10"/>
      <name val="Arial CE"/>
      <family val="2"/>
      <charset val="238"/>
    </font>
    <font>
      <sz val="11"/>
      <color indexed="12"/>
      <name val="Arial CE"/>
      <family val="2"/>
      <charset val="238"/>
    </font>
    <font>
      <i/>
      <sz val="11"/>
      <name val="Arial CE"/>
      <charset val="238"/>
    </font>
    <font>
      <b/>
      <u/>
      <sz val="11"/>
      <name val="Arial CE"/>
      <family val="2"/>
      <charset val="238"/>
    </font>
    <font>
      <b/>
      <u/>
      <sz val="14"/>
      <name val="Arial CE"/>
      <family val="2"/>
      <charset val="238"/>
    </font>
    <font>
      <b/>
      <u/>
      <sz val="10"/>
      <name val="Arial CE"/>
      <family val="2"/>
      <charset val="238"/>
    </font>
    <font>
      <b/>
      <sz val="11"/>
      <name val="Arial CE"/>
      <charset val="238"/>
    </font>
    <font>
      <b/>
      <sz val="12"/>
      <name val="Arial CE"/>
      <charset val="238"/>
    </font>
    <font>
      <b/>
      <i/>
      <sz val="11"/>
      <name val="Arial CE"/>
      <charset val="238"/>
    </font>
    <font>
      <sz val="10"/>
      <name val="Arial CE"/>
      <charset val="238"/>
    </font>
    <font>
      <i/>
      <sz val="11"/>
      <color indexed="10"/>
      <name val="Arial CE"/>
      <charset val="238"/>
    </font>
    <font>
      <b/>
      <sz val="11"/>
      <color indexed="14"/>
      <name val="Arial CE"/>
      <charset val="238"/>
    </font>
    <font>
      <i/>
      <sz val="11"/>
      <color indexed="12"/>
      <name val="Arial CE"/>
      <charset val="238"/>
    </font>
    <font>
      <sz val="11"/>
      <color indexed="10"/>
      <name val="Arial CE"/>
      <charset val="238"/>
    </font>
    <font>
      <i/>
      <sz val="11"/>
      <color indexed="10"/>
      <name val="Arial"/>
      <family val="2"/>
      <charset val="238"/>
    </font>
    <font>
      <sz val="11"/>
      <color indexed="14"/>
      <name val="Arial CE"/>
      <charset val="238"/>
    </font>
    <font>
      <sz val="12"/>
      <color indexed="10"/>
      <name val="Times New Roman"/>
      <family val="1"/>
      <charset val="238"/>
    </font>
    <font>
      <sz val="12"/>
      <name val="Arial CE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 CE"/>
      <charset val="238"/>
    </font>
    <font>
      <b/>
      <u/>
      <sz val="14"/>
      <name val="Arial CE"/>
      <charset val="238"/>
    </font>
    <font>
      <sz val="12"/>
      <color theme="1"/>
      <name val="Arial CE"/>
      <charset val="238"/>
    </font>
    <font>
      <sz val="12"/>
      <color theme="1"/>
      <name val="Arial"/>
      <family val="2"/>
      <charset val="238"/>
    </font>
  </fonts>
  <fills count="2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35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0" fillId="0" borderId="0" xfId="0" applyNumberFormat="1"/>
    <xf numFmtId="0" fontId="13" fillId="0" borderId="0" xfId="0" applyFont="1"/>
    <xf numFmtId="0" fontId="0" fillId="0" borderId="0" xfId="0" applyFill="1"/>
    <xf numFmtId="0" fontId="13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Continuous"/>
    </xf>
    <xf numFmtId="0" fontId="13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8" fillId="0" borderId="2" xfId="0" applyFont="1" applyFill="1" applyBorder="1"/>
    <xf numFmtId="3" fontId="0" fillId="0" borderId="2" xfId="0" applyNumberFormat="1" applyBorder="1"/>
    <xf numFmtId="3" fontId="0" fillId="0" borderId="2" xfId="0" applyNumberFormat="1" applyFill="1" applyBorder="1"/>
    <xf numFmtId="3" fontId="11" fillId="0" borderId="2" xfId="0" applyNumberFormat="1" applyFont="1" applyFill="1" applyBorder="1"/>
    <xf numFmtId="0" fontId="13" fillId="2" borderId="2" xfId="0" applyFont="1" applyFill="1" applyBorder="1" applyAlignment="1">
      <alignment horizontal="center"/>
    </xf>
    <xf numFmtId="0" fontId="13" fillId="2" borderId="2" xfId="0" applyFont="1" applyFill="1" applyBorder="1"/>
    <xf numFmtId="3" fontId="13" fillId="2" borderId="2" xfId="0" applyNumberFormat="1" applyFont="1" applyFill="1" applyBorder="1"/>
    <xf numFmtId="3" fontId="11" fillId="0" borderId="2" xfId="0" applyNumberFormat="1" applyFont="1" applyBorder="1"/>
    <xf numFmtId="0" fontId="11" fillId="0" borderId="2" xfId="0" applyFont="1" applyFill="1" applyBorder="1"/>
    <xf numFmtId="0" fontId="8" fillId="0" borderId="2" xfId="0" applyFon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164" fontId="13" fillId="2" borderId="2" xfId="0" applyNumberFormat="1" applyFont="1" applyFill="1" applyBorder="1" applyAlignment="1">
      <alignment horizontal="center"/>
    </xf>
    <xf numFmtId="3" fontId="15" fillId="0" borderId="2" xfId="0" applyNumberFormat="1" applyFont="1" applyFill="1" applyBorder="1"/>
    <xf numFmtId="0" fontId="16" fillId="0" borderId="0" xfId="0" applyFont="1"/>
    <xf numFmtId="0" fontId="13" fillId="0" borderId="2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right"/>
    </xf>
    <xf numFmtId="3" fontId="3" fillId="0" borderId="2" xfId="0" applyNumberFormat="1" applyFont="1" applyFill="1" applyBorder="1"/>
    <xf numFmtId="0" fontId="13" fillId="2" borderId="2" xfId="0" applyFont="1" applyFill="1" applyBorder="1" applyAlignment="1">
      <alignment horizontal="centerContinuous"/>
    </xf>
    <xf numFmtId="0" fontId="11" fillId="0" borderId="2" xfId="0" applyFont="1" applyBorder="1"/>
    <xf numFmtId="3" fontId="0" fillId="0" borderId="0" xfId="0" applyNumberFormat="1" applyBorder="1"/>
    <xf numFmtId="0" fontId="3" fillId="0" borderId="2" xfId="0" applyFont="1" applyBorder="1" applyAlignment="1">
      <alignment horizontal="center"/>
    </xf>
    <xf numFmtId="3" fontId="5" fillId="0" borderId="3" xfId="0" applyNumberFormat="1" applyFont="1" applyFill="1" applyBorder="1"/>
    <xf numFmtId="3" fontId="0" fillId="0" borderId="4" xfId="0" applyNumberFormat="1" applyFill="1" applyBorder="1"/>
    <xf numFmtId="3" fontId="0" fillId="0" borderId="4" xfId="0" applyNumberFormat="1" applyBorder="1"/>
    <xf numFmtId="0" fontId="3" fillId="0" borderId="0" xfId="0" applyFont="1" applyFill="1"/>
    <xf numFmtId="3" fontId="5" fillId="0" borderId="2" xfId="0" applyNumberFormat="1" applyFont="1" applyFill="1" applyBorder="1"/>
    <xf numFmtId="0" fontId="0" fillId="0" borderId="5" xfId="0" applyBorder="1"/>
    <xf numFmtId="3" fontId="11" fillId="0" borderId="0" xfId="0" applyNumberFormat="1" applyFont="1" applyBorder="1"/>
    <xf numFmtId="0" fontId="0" fillId="0" borderId="0" xfId="0" applyBorder="1"/>
    <xf numFmtId="0" fontId="3" fillId="0" borderId="0" xfId="0" applyFont="1" applyBorder="1"/>
    <xf numFmtId="0" fontId="5" fillId="0" borderId="0" xfId="0" applyFont="1" applyFill="1" applyBorder="1"/>
    <xf numFmtId="3" fontId="18" fillId="0" borderId="2" xfId="0" applyNumberFormat="1" applyFont="1" applyFill="1" applyBorder="1"/>
    <xf numFmtId="3" fontId="5" fillId="0" borderId="0" xfId="0" applyNumberFormat="1" applyFont="1" applyFill="1" applyBorder="1"/>
    <xf numFmtId="3" fontId="1" fillId="0" borderId="0" xfId="0" applyNumberFormat="1" applyFont="1" applyFill="1" applyBorder="1"/>
    <xf numFmtId="3" fontId="3" fillId="0" borderId="0" xfId="0" applyNumberFormat="1" applyFont="1" applyFill="1" applyBorder="1"/>
    <xf numFmtId="0" fontId="3" fillId="3" borderId="0" xfId="0" applyFont="1" applyFill="1"/>
    <xf numFmtId="3" fontId="3" fillId="0" borderId="0" xfId="0" applyNumberFormat="1" applyFont="1" applyBorder="1"/>
    <xf numFmtId="0" fontId="0" fillId="0" borderId="6" xfId="0" applyBorder="1"/>
    <xf numFmtId="3" fontId="0" fillId="0" borderId="6" xfId="0" applyNumberFormat="1" applyBorder="1"/>
    <xf numFmtId="0" fontId="5" fillId="0" borderId="0" xfId="0" applyFont="1" applyFill="1"/>
    <xf numFmtId="3" fontId="0" fillId="0" borderId="0" xfId="0" applyNumberFormat="1" applyFill="1"/>
    <xf numFmtId="3" fontId="3" fillId="0" borderId="0" xfId="0" applyNumberFormat="1" applyFont="1" applyFill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21" fillId="3" borderId="0" xfId="0" applyFont="1" applyFill="1" applyAlignment="1">
      <alignment horizontal="centerContinuous"/>
    </xf>
    <xf numFmtId="0" fontId="21" fillId="3" borderId="0" xfId="0" applyFont="1" applyFill="1" applyAlignment="1">
      <alignment horizontal="center"/>
    </xf>
    <xf numFmtId="0" fontId="0" fillId="3" borderId="0" xfId="0" applyFill="1"/>
    <xf numFmtId="0" fontId="19" fillId="3" borderId="0" xfId="0" applyFont="1" applyFill="1" applyAlignment="1">
      <alignment horizontal="centerContinuous"/>
    </xf>
    <xf numFmtId="165" fontId="0" fillId="3" borderId="0" xfId="0" applyNumberFormat="1" applyFill="1"/>
    <xf numFmtId="0" fontId="19" fillId="0" borderId="0" xfId="0" applyFont="1" applyFill="1" applyAlignment="1"/>
    <xf numFmtId="165" fontId="20" fillId="0" borderId="3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5" fillId="0" borderId="0" xfId="0" applyFont="1"/>
    <xf numFmtId="3" fontId="19" fillId="0" borderId="2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3" fontId="19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19" fillId="0" borderId="0" xfId="0" applyNumberFormat="1" applyFont="1" applyAlignment="1">
      <alignment horizontal="center"/>
    </xf>
    <xf numFmtId="3" fontId="11" fillId="0" borderId="0" xfId="0" applyNumberFormat="1" applyFont="1"/>
    <xf numFmtId="10" fontId="0" fillId="0" borderId="0" xfId="0" applyNumberFormat="1"/>
    <xf numFmtId="3" fontId="3" fillId="0" borderId="0" xfId="0" applyNumberFormat="1" applyFont="1"/>
    <xf numFmtId="10" fontId="0" fillId="0" borderId="0" xfId="0" applyNumberFormat="1" applyFill="1"/>
    <xf numFmtId="3" fontId="11" fillId="0" borderId="0" xfId="0" applyNumberFormat="1" applyFont="1" applyFill="1"/>
    <xf numFmtId="0" fontId="18" fillId="0" borderId="0" xfId="0" applyFont="1" applyBorder="1" applyAlignment="1">
      <alignment horizontal="center"/>
    </xf>
    <xf numFmtId="164" fontId="18" fillId="0" borderId="0" xfId="0" applyNumberFormat="1" applyFont="1" applyBorder="1" applyAlignment="1">
      <alignment horizontal="center"/>
    </xf>
    <xf numFmtId="164" fontId="19" fillId="0" borderId="0" xfId="0" applyNumberFormat="1" applyFont="1" applyBorder="1" applyAlignment="1">
      <alignment horizontal="center"/>
    </xf>
    <xf numFmtId="3" fontId="1" fillId="0" borderId="0" xfId="0" applyNumberFormat="1" applyFont="1" applyFill="1"/>
    <xf numFmtId="0" fontId="5" fillId="0" borderId="7" xfId="0" applyFont="1" applyBorder="1" applyAlignment="1">
      <alignment horizontal="center"/>
    </xf>
    <xf numFmtId="164" fontId="19" fillId="0" borderId="7" xfId="0" applyNumberFormat="1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10" fontId="5" fillId="0" borderId="2" xfId="0" applyNumberFormat="1" applyFont="1" applyBorder="1"/>
    <xf numFmtId="10" fontId="5" fillId="0" borderId="0" xfId="0" applyNumberFormat="1" applyFont="1" applyBorder="1"/>
    <xf numFmtId="3" fontId="5" fillId="0" borderId="8" xfId="0" applyNumberFormat="1" applyFont="1" applyBorder="1"/>
    <xf numFmtId="0" fontId="19" fillId="0" borderId="0" xfId="0" applyFont="1" applyAlignment="1">
      <alignment horizontal="center"/>
    </xf>
    <xf numFmtId="3" fontId="5" fillId="4" borderId="0" xfId="0" applyNumberFormat="1" applyFont="1" applyFill="1"/>
    <xf numFmtId="3" fontId="5" fillId="0" borderId="0" xfId="0" applyNumberFormat="1" applyFont="1" applyFill="1"/>
    <xf numFmtId="10" fontId="5" fillId="0" borderId="0" xfId="0" applyNumberFormat="1" applyFont="1" applyFill="1"/>
    <xf numFmtId="0" fontId="19" fillId="0" borderId="0" xfId="0" applyFont="1" applyBorder="1" applyAlignment="1"/>
    <xf numFmtId="164" fontId="19" fillId="0" borderId="7" xfId="0" applyNumberFormat="1" applyFont="1" applyBorder="1" applyAlignment="1">
      <alignment horizontal="centerContinuous"/>
    </xf>
    <xf numFmtId="3" fontId="5" fillId="0" borderId="6" xfId="0" applyNumberFormat="1" applyFont="1" applyBorder="1"/>
    <xf numFmtId="3" fontId="5" fillId="0" borderId="2" xfId="0" applyNumberFormat="1" applyFont="1" applyBorder="1"/>
    <xf numFmtId="3" fontId="5" fillId="0" borderId="0" xfId="0" applyNumberFormat="1" applyFont="1" applyBorder="1"/>
    <xf numFmtId="0" fontId="3" fillId="0" borderId="0" xfId="0" applyFont="1"/>
    <xf numFmtId="0" fontId="18" fillId="0" borderId="7" xfId="0" applyFont="1" applyBorder="1" applyAlignment="1">
      <alignment horizontal="center"/>
    </xf>
    <xf numFmtId="164" fontId="18" fillId="0" borderId="7" xfId="0" applyNumberFormat="1" applyFont="1" applyBorder="1" applyAlignment="1">
      <alignment horizontal="center"/>
    </xf>
    <xf numFmtId="0" fontId="19" fillId="0" borderId="0" xfId="0" applyFont="1" applyAlignment="1">
      <alignment horizontal="centerContinuous"/>
    </xf>
    <xf numFmtId="3" fontId="19" fillId="0" borderId="0" xfId="0" applyNumberFormat="1" applyFont="1"/>
    <xf numFmtId="0" fontId="19" fillId="0" borderId="0" xfId="0" applyFont="1" applyAlignment="1"/>
    <xf numFmtId="0" fontId="19" fillId="0" borderId="0" xfId="0" applyFont="1"/>
    <xf numFmtId="0" fontId="5" fillId="0" borderId="0" xfId="0" applyFont="1" applyAlignment="1">
      <alignment horizontal="left"/>
    </xf>
    <xf numFmtId="3" fontId="5" fillId="0" borderId="0" xfId="0" applyNumberFormat="1" applyFont="1"/>
    <xf numFmtId="0" fontId="0" fillId="0" borderId="0" xfId="0" applyAlignment="1">
      <alignment horizontal="right"/>
    </xf>
    <xf numFmtId="165" fontId="5" fillId="0" borderId="0" xfId="0" applyNumberFormat="1" applyFont="1" applyFill="1" applyAlignment="1">
      <alignment horizontal="center"/>
    </xf>
    <xf numFmtId="3" fontId="19" fillId="0" borderId="3" xfId="0" applyNumberFormat="1" applyFont="1" applyBorder="1" applyAlignment="1">
      <alignment horizontal="center"/>
    </xf>
    <xf numFmtId="0" fontId="0" fillId="0" borderId="7" xfId="0" applyBorder="1"/>
    <xf numFmtId="164" fontId="19" fillId="0" borderId="0" xfId="0" applyNumberFormat="1" applyFont="1" applyBorder="1" applyAlignment="1">
      <alignment horizontal="centerContinuous"/>
    </xf>
    <xf numFmtId="3" fontId="5" fillId="0" borderId="3" xfId="0" applyNumberFormat="1" applyFont="1" applyBorder="1"/>
    <xf numFmtId="0" fontId="5" fillId="0" borderId="0" xfId="0" applyFont="1" applyBorder="1" applyAlignment="1">
      <alignment horizontal="right"/>
    </xf>
    <xf numFmtId="10" fontId="11" fillId="0" borderId="0" xfId="0" applyNumberFormat="1" applyFont="1"/>
    <xf numFmtId="3" fontId="5" fillId="0" borderId="5" xfId="0" applyNumberFormat="1" applyFont="1" applyBorder="1"/>
    <xf numFmtId="0" fontId="19" fillId="0" borderId="0" xfId="0" applyFont="1" applyFill="1" applyAlignment="1">
      <alignment horizontal="left"/>
    </xf>
    <xf numFmtId="164" fontId="18" fillId="0" borderId="7" xfId="0" applyNumberFormat="1" applyFont="1" applyBorder="1" applyAlignment="1">
      <alignment horizontal="centerContinuous"/>
    </xf>
    <xf numFmtId="0" fontId="5" fillId="0" borderId="3" xfId="0" applyFont="1" applyBorder="1" applyAlignment="1">
      <alignment horizontal="center"/>
    </xf>
    <xf numFmtId="0" fontId="19" fillId="0" borderId="0" xfId="0" applyNumberFormat="1" applyFont="1" applyAlignment="1">
      <alignment horizontal="right"/>
    </xf>
    <xf numFmtId="3" fontId="1" fillId="0" borderId="0" xfId="0" applyNumberFormat="1" applyFont="1"/>
    <xf numFmtId="0" fontId="10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164" fontId="18" fillId="0" borderId="0" xfId="0" applyNumberFormat="1" applyFont="1" applyBorder="1" applyAlignment="1">
      <alignment horizontal="centerContinuous"/>
    </xf>
    <xf numFmtId="0" fontId="11" fillId="0" borderId="0" xfId="0" applyFont="1"/>
    <xf numFmtId="3" fontId="11" fillId="0" borderId="7" xfId="0" applyNumberFormat="1" applyFont="1" applyBorder="1"/>
    <xf numFmtId="0" fontId="0" fillId="0" borderId="1" xfId="0" applyBorder="1" applyAlignment="1">
      <alignment horizontal="center"/>
    </xf>
    <xf numFmtId="3" fontId="14" fillId="2" borderId="2" xfId="0" applyNumberFormat="1" applyFont="1" applyFill="1" applyBorder="1"/>
    <xf numFmtId="0" fontId="0" fillId="0" borderId="9" xfId="0" applyBorder="1" applyAlignment="1">
      <alignment horizontal="center"/>
    </xf>
    <xf numFmtId="0" fontId="3" fillId="0" borderId="7" xfId="0" applyFont="1" applyBorder="1"/>
    <xf numFmtId="3" fontId="11" fillId="0" borderId="10" xfId="0" applyNumberFormat="1" applyFont="1" applyBorder="1"/>
    <xf numFmtId="0" fontId="11" fillId="0" borderId="10" xfId="0" applyFont="1" applyBorder="1"/>
    <xf numFmtId="0" fontId="11" fillId="5" borderId="0" xfId="0" applyFont="1" applyFill="1"/>
    <xf numFmtId="3" fontId="11" fillId="5" borderId="10" xfId="0" applyNumberFormat="1" applyFont="1" applyFill="1" applyBorder="1"/>
    <xf numFmtId="0" fontId="11" fillId="6" borderId="0" xfId="0" applyFont="1" applyFill="1"/>
    <xf numFmtId="0" fontId="11" fillId="0" borderId="0" xfId="0" applyFont="1" applyFill="1"/>
    <xf numFmtId="3" fontId="11" fillId="7" borderId="0" xfId="0" applyNumberFormat="1" applyFont="1" applyFill="1"/>
    <xf numFmtId="0" fontId="11" fillId="8" borderId="0" xfId="0" applyFont="1" applyFill="1"/>
    <xf numFmtId="3" fontId="11" fillId="8" borderId="10" xfId="0" applyNumberFormat="1" applyFont="1" applyFill="1" applyBorder="1"/>
    <xf numFmtId="3" fontId="11" fillId="5" borderId="0" xfId="0" applyNumberFormat="1" applyFont="1" applyFill="1"/>
    <xf numFmtId="3" fontId="11" fillId="8" borderId="0" xfId="0" applyNumberFormat="1" applyFont="1" applyFill="1"/>
    <xf numFmtId="0" fontId="11" fillId="9" borderId="0" xfId="0" applyFont="1" applyFill="1"/>
    <xf numFmtId="0" fontId="11" fillId="10" borderId="11" xfId="0" applyFont="1" applyFill="1" applyBorder="1"/>
    <xf numFmtId="0" fontId="11" fillId="10" borderId="0" xfId="0" applyFont="1" applyFill="1"/>
    <xf numFmtId="0" fontId="11" fillId="11" borderId="0" xfId="0" applyFont="1" applyFill="1"/>
    <xf numFmtId="0" fontId="11" fillId="11" borderId="10" xfId="0" applyFont="1" applyFill="1" applyBorder="1"/>
    <xf numFmtId="0" fontId="11" fillId="10" borderId="10" xfId="0" applyFont="1" applyFill="1" applyBorder="1"/>
    <xf numFmtId="0" fontId="11" fillId="12" borderId="0" xfId="0" applyFont="1" applyFill="1"/>
    <xf numFmtId="0" fontId="11" fillId="12" borderId="10" xfId="0" applyFont="1" applyFill="1" applyBorder="1"/>
    <xf numFmtId="0" fontId="11" fillId="13" borderId="10" xfId="0" applyFont="1" applyFill="1" applyBorder="1"/>
    <xf numFmtId="0" fontId="11" fillId="14" borderId="0" xfId="0" applyFont="1" applyFill="1"/>
    <xf numFmtId="3" fontId="11" fillId="14" borderId="10" xfId="0" applyNumberFormat="1" applyFont="1" applyFill="1" applyBorder="1"/>
    <xf numFmtId="3" fontId="11" fillId="12" borderId="10" xfId="0" applyNumberFormat="1" applyFont="1" applyFill="1" applyBorder="1"/>
    <xf numFmtId="0" fontId="11" fillId="13" borderId="11" xfId="0" applyFont="1" applyFill="1" applyBorder="1"/>
    <xf numFmtId="3" fontId="11" fillId="9" borderId="0" xfId="0" applyNumberFormat="1" applyFont="1" applyFill="1"/>
    <xf numFmtId="3" fontId="11" fillId="0" borderId="6" xfId="0" applyNumberFormat="1" applyFont="1" applyBorder="1"/>
    <xf numFmtId="9" fontId="5" fillId="0" borderId="0" xfId="0" applyNumberFormat="1" applyFont="1"/>
    <xf numFmtId="3" fontId="13" fillId="0" borderId="2" xfId="0" applyNumberFormat="1" applyFont="1" applyFill="1" applyBorder="1"/>
    <xf numFmtId="3" fontId="11" fillId="3" borderId="0" xfId="0" applyNumberFormat="1" applyFont="1" applyFill="1"/>
    <xf numFmtId="0" fontId="22" fillId="0" borderId="0" xfId="0" applyFont="1" applyFill="1"/>
    <xf numFmtId="3" fontId="10" fillId="0" borderId="0" xfId="0" applyNumberFormat="1" applyFont="1" applyFill="1"/>
    <xf numFmtId="0" fontId="10" fillId="0" borderId="0" xfId="0" applyFont="1" applyFill="1"/>
    <xf numFmtId="3" fontId="16" fillId="0" borderId="0" xfId="0" applyNumberFormat="1" applyFont="1"/>
    <xf numFmtId="0" fontId="16" fillId="0" borderId="0" xfId="0" applyFont="1" applyFill="1"/>
    <xf numFmtId="0" fontId="16" fillId="0" borderId="2" xfId="0" applyFont="1" applyFill="1" applyBorder="1" applyAlignment="1">
      <alignment horizontal="center"/>
    </xf>
    <xf numFmtId="164" fontId="16" fillId="0" borderId="2" xfId="0" applyNumberFormat="1" applyFont="1" applyFill="1" applyBorder="1" applyAlignment="1">
      <alignment horizontal="center"/>
    </xf>
    <xf numFmtId="0" fontId="16" fillId="0" borderId="2" xfId="0" applyFont="1" applyFill="1" applyBorder="1"/>
    <xf numFmtId="3" fontId="16" fillId="0" borderId="2" xfId="0" applyNumberFormat="1" applyFont="1" applyFill="1" applyBorder="1"/>
    <xf numFmtId="3" fontId="24" fillId="0" borderId="2" xfId="0" applyNumberFormat="1" applyFont="1" applyFill="1" applyBorder="1"/>
    <xf numFmtId="164" fontId="16" fillId="0" borderId="2" xfId="0" applyNumberFormat="1" applyFont="1" applyFill="1" applyBorder="1" applyAlignment="1">
      <alignment horizontal="centerContinuous"/>
    </xf>
    <xf numFmtId="0" fontId="16" fillId="0" borderId="2" xfId="0" applyFont="1" applyFill="1" applyBorder="1" applyAlignment="1">
      <alignment horizontal="right"/>
    </xf>
    <xf numFmtId="3" fontId="24" fillId="0" borderId="2" xfId="0" applyNumberFormat="1" applyFont="1" applyBorder="1"/>
    <xf numFmtId="0" fontId="24" fillId="0" borderId="2" xfId="0" applyFont="1" applyBorder="1"/>
    <xf numFmtId="0" fontId="16" fillId="0" borderId="2" xfId="0" applyFont="1" applyBorder="1"/>
    <xf numFmtId="0" fontId="16" fillId="0" borderId="2" xfId="0" applyFont="1" applyBorder="1" applyAlignment="1">
      <alignment horizontal="center"/>
    </xf>
    <xf numFmtId="164" fontId="16" fillId="0" borderId="2" xfId="0" applyNumberFormat="1" applyFont="1" applyBorder="1" applyAlignment="1">
      <alignment horizontal="center"/>
    </xf>
    <xf numFmtId="0" fontId="16" fillId="0" borderId="2" xfId="0" applyFont="1" applyBorder="1" applyAlignment="1">
      <alignment horizontal="right"/>
    </xf>
    <xf numFmtId="3" fontId="25" fillId="0" borderId="2" xfId="0" applyNumberFormat="1" applyFont="1" applyBorder="1"/>
    <xf numFmtId="3" fontId="16" fillId="0" borderId="2" xfId="0" applyNumberFormat="1" applyFont="1" applyBorder="1"/>
    <xf numFmtId="3" fontId="25" fillId="0" borderId="2" xfId="0" applyNumberFormat="1" applyFont="1" applyFill="1" applyBorder="1"/>
    <xf numFmtId="0" fontId="26" fillId="0" borderId="2" xfId="0" applyFont="1" applyFill="1" applyBorder="1"/>
    <xf numFmtId="3" fontId="26" fillId="14" borderId="2" xfId="0" applyNumberFormat="1" applyFont="1" applyFill="1" applyBorder="1"/>
    <xf numFmtId="0" fontId="13" fillId="0" borderId="2" xfId="0" applyFont="1" applyBorder="1" applyAlignment="1">
      <alignment horizontal="center"/>
    </xf>
    <xf numFmtId="0" fontId="16" fillId="0" borderId="2" xfId="0" applyFont="1" applyFill="1" applyBorder="1" applyAlignment="1">
      <alignment horizontal="left"/>
    </xf>
    <xf numFmtId="3" fontId="16" fillId="0" borderId="2" xfId="0" applyNumberFormat="1" applyFont="1" applyFill="1" applyBorder="1" applyAlignment="1">
      <alignment horizontal="right"/>
    </xf>
    <xf numFmtId="3" fontId="16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center"/>
    </xf>
    <xf numFmtId="0" fontId="26" fillId="14" borderId="2" xfId="0" applyFont="1" applyFill="1" applyBorder="1"/>
    <xf numFmtId="0" fontId="15" fillId="0" borderId="2" xfId="0" applyFont="1" applyFill="1" applyBorder="1"/>
    <xf numFmtId="0" fontId="24" fillId="0" borderId="2" xfId="0" applyFont="1" applyFill="1" applyBorder="1"/>
    <xf numFmtId="0" fontId="16" fillId="0" borderId="2" xfId="0" applyFont="1" applyFill="1" applyBorder="1" applyAlignment="1">
      <alignment horizontal="centerContinuous"/>
    </xf>
    <xf numFmtId="0" fontId="27" fillId="0" borderId="2" xfId="0" applyFont="1" applyFill="1" applyBorder="1"/>
    <xf numFmtId="3" fontId="28" fillId="0" borderId="2" xfId="0" applyNumberFormat="1" applyFont="1" applyBorder="1"/>
    <xf numFmtId="0" fontId="24" fillId="0" borderId="0" xfId="0" applyFont="1"/>
    <xf numFmtId="0" fontId="13" fillId="0" borderId="0" xfId="0" applyFont="1" applyFill="1"/>
    <xf numFmtId="0" fontId="13" fillId="0" borderId="6" xfId="0" applyFont="1" applyBorder="1" applyAlignment="1">
      <alignment horizontal="right"/>
    </xf>
    <xf numFmtId="0" fontId="13" fillId="0" borderId="2" xfId="0" applyFont="1" applyBorder="1" applyAlignment="1">
      <alignment horizontal="right"/>
    </xf>
    <xf numFmtId="3" fontId="13" fillId="0" borderId="2" xfId="0" applyNumberFormat="1" applyFont="1" applyBorder="1"/>
    <xf numFmtId="3" fontId="13" fillId="0" borderId="6" xfId="0" applyNumberFormat="1" applyFont="1" applyBorder="1"/>
    <xf numFmtId="3" fontId="1" fillId="0" borderId="6" xfId="0" applyNumberFormat="1" applyFont="1" applyBorder="1"/>
    <xf numFmtId="0" fontId="13" fillId="0" borderId="2" xfId="0" applyFont="1" applyBorder="1" applyAlignment="1"/>
    <xf numFmtId="0" fontId="13" fillId="0" borderId="2" xfId="0" applyFont="1" applyBorder="1" applyAlignment="1">
      <alignment horizontal="centerContinuous"/>
    </xf>
    <xf numFmtId="0" fontId="5" fillId="0" borderId="5" xfId="0" applyFont="1" applyBorder="1" applyAlignment="1">
      <alignment horizontal="center"/>
    </xf>
    <xf numFmtId="3" fontId="13" fillId="0" borderId="2" xfId="0" applyNumberFormat="1" applyFont="1" applyBorder="1" applyAlignment="1">
      <alignment horizontal="center"/>
    </xf>
    <xf numFmtId="0" fontId="9" fillId="0" borderId="2" xfId="0" applyFont="1" applyFill="1" applyBorder="1"/>
    <xf numFmtId="0" fontId="15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right"/>
    </xf>
    <xf numFmtId="0" fontId="13" fillId="0" borderId="2" xfId="0" applyFont="1" applyBorder="1" applyAlignment="1">
      <alignment horizontal="left"/>
    </xf>
    <xf numFmtId="3" fontId="0" fillId="2" borderId="2" xfId="0" applyNumberFormat="1" applyFill="1" applyBorder="1"/>
    <xf numFmtId="3" fontId="28" fillId="0" borderId="2" xfId="0" applyNumberFormat="1" applyFont="1" applyFill="1" applyBorder="1"/>
    <xf numFmtId="3" fontId="5" fillId="0" borderId="12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49" fontId="16" fillId="0" borderId="1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3" fillId="7" borderId="0" xfId="0" applyFont="1" applyFill="1"/>
    <xf numFmtId="0" fontId="3" fillId="6" borderId="0" xfId="0" applyFont="1" applyFill="1"/>
    <xf numFmtId="0" fontId="3" fillId="13" borderId="5" xfId="0" applyFont="1" applyFill="1" applyBorder="1"/>
    <xf numFmtId="0" fontId="0" fillId="15" borderId="0" xfId="0" applyFill="1"/>
    <xf numFmtId="0" fontId="0" fillId="8" borderId="0" xfId="0" applyFill="1"/>
    <xf numFmtId="0" fontId="3" fillId="9" borderId="0" xfId="0" applyFont="1" applyFill="1"/>
    <xf numFmtId="0" fontId="3" fillId="10" borderId="5" xfId="0" applyFont="1" applyFill="1" applyBorder="1"/>
    <xf numFmtId="0" fontId="3" fillId="10" borderId="0" xfId="0" applyFont="1" applyFill="1"/>
    <xf numFmtId="0" fontId="3" fillId="11" borderId="0" xfId="0" applyFont="1" applyFill="1"/>
    <xf numFmtId="0" fontId="3" fillId="11" borderId="7" xfId="0" applyFont="1" applyFill="1" applyBorder="1"/>
    <xf numFmtId="0" fontId="3" fillId="10" borderId="7" xfId="0" applyFont="1" applyFill="1" applyBorder="1"/>
    <xf numFmtId="0" fontId="3" fillId="12" borderId="0" xfId="0" applyFont="1" applyFill="1"/>
    <xf numFmtId="0" fontId="3" fillId="12" borderId="7" xfId="0" applyFont="1" applyFill="1" applyBorder="1"/>
    <xf numFmtId="0" fontId="3" fillId="13" borderId="7" xfId="0" applyFont="1" applyFill="1" applyBorder="1"/>
    <xf numFmtId="0" fontId="3" fillId="14" borderId="0" xfId="0" applyFont="1" applyFill="1"/>
    <xf numFmtId="0" fontId="3" fillId="14" borderId="7" xfId="0" applyFont="1" applyFill="1" applyBorder="1"/>
    <xf numFmtId="0" fontId="8" fillId="5" borderId="0" xfId="0" applyFont="1" applyFill="1" applyAlignment="1">
      <alignment horizontal="center"/>
    </xf>
    <xf numFmtId="0" fontId="8" fillId="5" borderId="1" xfId="0" applyFont="1" applyFill="1" applyBorder="1" applyAlignment="1">
      <alignment horizontal="center"/>
    </xf>
    <xf numFmtId="10" fontId="13" fillId="2" borderId="14" xfId="0" applyNumberFormat="1" applyFont="1" applyFill="1" applyBorder="1"/>
    <xf numFmtId="0" fontId="13" fillId="2" borderId="0" xfId="0" applyFont="1" applyFill="1"/>
    <xf numFmtId="3" fontId="0" fillId="3" borderId="0" xfId="0" applyNumberFormat="1" applyFill="1"/>
    <xf numFmtId="3" fontId="0" fillId="15" borderId="0" xfId="0" applyNumberFormat="1" applyFill="1"/>
    <xf numFmtId="3" fontId="0" fillId="15" borderId="2" xfId="0" applyNumberFormat="1" applyFill="1" applyBorder="1"/>
    <xf numFmtId="3" fontId="11" fillId="15" borderId="2" xfId="0" applyNumberFormat="1" applyFont="1" applyFill="1" applyBorder="1"/>
    <xf numFmtId="10" fontId="0" fillId="15" borderId="0" xfId="0" applyNumberFormat="1" applyFill="1"/>
    <xf numFmtId="0" fontId="11" fillId="15" borderId="2" xfId="0" applyFont="1" applyFill="1" applyBorder="1"/>
    <xf numFmtId="0" fontId="11" fillId="13" borderId="2" xfId="0" applyFont="1" applyFill="1" applyBorder="1"/>
    <xf numFmtId="0" fontId="11" fillId="6" borderId="2" xfId="0" applyFont="1" applyFill="1" applyBorder="1"/>
    <xf numFmtId="0" fontId="16" fillId="15" borderId="2" xfId="0" applyFont="1" applyFill="1" applyBorder="1"/>
    <xf numFmtId="3" fontId="16" fillId="15" borderId="2" xfId="0" applyNumberFormat="1" applyFont="1" applyFill="1" applyBorder="1"/>
    <xf numFmtId="0" fontId="16" fillId="15" borderId="2" xfId="0" applyFont="1" applyFill="1" applyBorder="1" applyAlignment="1">
      <alignment horizontal="right"/>
    </xf>
    <xf numFmtId="10" fontId="13" fillId="0" borderId="2" xfId="0" applyNumberFormat="1" applyFont="1" applyBorder="1"/>
    <xf numFmtId="3" fontId="1" fillId="0" borderId="2" xfId="0" applyNumberFormat="1" applyFont="1" applyBorder="1"/>
    <xf numFmtId="10" fontId="0" fillId="0" borderId="2" xfId="0" applyNumberFormat="1" applyBorder="1"/>
    <xf numFmtId="10" fontId="3" fillId="0" borderId="2" xfId="0" applyNumberFormat="1" applyFont="1" applyBorder="1"/>
    <xf numFmtId="3" fontId="13" fillId="0" borderId="6" xfId="0" applyNumberFormat="1" applyFont="1" applyFill="1" applyBorder="1"/>
    <xf numFmtId="3" fontId="13" fillId="0" borderId="3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3" fontId="13" fillId="0" borderId="2" xfId="0" applyNumberFormat="1" applyFont="1" applyFill="1" applyBorder="1" applyAlignment="1">
      <alignment horizontal="center"/>
    </xf>
    <xf numFmtId="0" fontId="11" fillId="3" borderId="2" xfId="0" applyFont="1" applyFill="1" applyBorder="1"/>
    <xf numFmtId="0" fontId="29" fillId="0" borderId="0" xfId="0" applyFont="1"/>
    <xf numFmtId="3" fontId="0" fillId="15" borderId="0" xfId="0" applyNumberFormat="1" applyFill="1" applyAlignment="1">
      <alignment horizontal="center"/>
    </xf>
    <xf numFmtId="3" fontId="0" fillId="3" borderId="0" xfId="0" applyNumberFormat="1" applyFill="1" applyAlignment="1">
      <alignment horizontal="center"/>
    </xf>
    <xf numFmtId="0" fontId="13" fillId="15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3" fillId="5" borderId="6" xfId="0" applyFont="1" applyFill="1" applyBorder="1"/>
    <xf numFmtId="0" fontId="0" fillId="5" borderId="6" xfId="0" applyFill="1" applyBorder="1"/>
    <xf numFmtId="10" fontId="0" fillId="0" borderId="6" xfId="0" applyNumberFormat="1" applyBorder="1"/>
    <xf numFmtId="0" fontId="13" fillId="0" borderId="6" xfId="0" applyFont="1" applyBorder="1"/>
    <xf numFmtId="3" fontId="16" fillId="0" borderId="6" xfId="0" applyNumberFormat="1" applyFont="1" applyBorder="1"/>
    <xf numFmtId="0" fontId="3" fillId="5" borderId="2" xfId="0" applyFont="1" applyFill="1" applyBorder="1"/>
    <xf numFmtId="0" fontId="0" fillId="5" borderId="2" xfId="0" applyFill="1" applyBorder="1"/>
    <xf numFmtId="0" fontId="13" fillId="0" borderId="2" xfId="0" applyFont="1" applyBorder="1"/>
    <xf numFmtId="3" fontId="11" fillId="5" borderId="2" xfId="0" applyNumberFormat="1" applyFont="1" applyFill="1" applyBorder="1"/>
    <xf numFmtId="3" fontId="11" fillId="7" borderId="2" xfId="0" applyNumberFormat="1" applyFont="1" applyFill="1" applyBorder="1"/>
    <xf numFmtId="0" fontId="0" fillId="7" borderId="2" xfId="0" applyFill="1" applyBorder="1"/>
    <xf numFmtId="0" fontId="3" fillId="8" borderId="2" xfId="0" applyFont="1" applyFill="1" applyBorder="1"/>
    <xf numFmtId="0" fontId="0" fillId="8" borderId="2" xfId="0" applyFill="1" applyBorder="1"/>
    <xf numFmtId="3" fontId="11" fillId="8" borderId="2" xfId="0" applyNumberFormat="1" applyFont="1" applyFill="1" applyBorder="1"/>
    <xf numFmtId="0" fontId="3" fillId="0" borderId="2" xfId="0" applyFont="1" applyBorder="1"/>
    <xf numFmtId="3" fontId="10" fillId="0" borderId="2" xfId="0" applyNumberFormat="1" applyFont="1" applyFill="1" applyBorder="1"/>
    <xf numFmtId="0" fontId="3" fillId="9" borderId="2" xfId="0" applyFont="1" applyFill="1" applyBorder="1"/>
    <xf numFmtId="0" fontId="0" fillId="9" borderId="2" xfId="0" applyFill="1" applyBorder="1"/>
    <xf numFmtId="0" fontId="3" fillId="10" borderId="2" xfId="0" applyFont="1" applyFill="1" applyBorder="1"/>
    <xf numFmtId="0" fontId="0" fillId="10" borderId="2" xfId="0" applyFill="1" applyBorder="1"/>
    <xf numFmtId="0" fontId="10" fillId="0" borderId="2" xfId="0" applyFont="1" applyFill="1" applyBorder="1"/>
    <xf numFmtId="0" fontId="3" fillId="11" borderId="2" xfId="0" applyFont="1" applyFill="1" applyBorder="1"/>
    <xf numFmtId="0" fontId="0" fillId="11" borderId="2" xfId="0" applyFill="1" applyBorder="1"/>
    <xf numFmtId="0" fontId="11" fillId="11" borderId="2" xfId="0" applyFont="1" applyFill="1" applyBorder="1"/>
    <xf numFmtId="0" fontId="3" fillId="12" borderId="2" xfId="0" applyFont="1" applyFill="1" applyBorder="1"/>
    <xf numFmtId="0" fontId="0" fillId="12" borderId="2" xfId="0" applyFill="1" applyBorder="1"/>
    <xf numFmtId="0" fontId="0" fillId="6" borderId="2" xfId="0" applyFill="1" applyBorder="1"/>
    <xf numFmtId="0" fontId="3" fillId="13" borderId="2" xfId="0" applyFont="1" applyFill="1" applyBorder="1"/>
    <xf numFmtId="0" fontId="0" fillId="13" borderId="2" xfId="0" applyFill="1" applyBorder="1"/>
    <xf numFmtId="0" fontId="3" fillId="14" borderId="2" xfId="0" applyFont="1" applyFill="1" applyBorder="1"/>
    <xf numFmtId="0" fontId="0" fillId="14" borderId="2" xfId="0" applyFill="1" applyBorder="1"/>
    <xf numFmtId="3" fontId="11" fillId="14" borderId="2" xfId="0" applyNumberFormat="1" applyFont="1" applyFill="1" applyBorder="1"/>
    <xf numFmtId="0" fontId="11" fillId="10" borderId="2" xfId="0" applyFont="1" applyFill="1" applyBorder="1"/>
    <xf numFmtId="3" fontId="11" fillId="12" borderId="2" xfId="0" applyNumberFormat="1" applyFont="1" applyFill="1" applyBorder="1"/>
    <xf numFmtId="3" fontId="11" fillId="9" borderId="2" xfId="0" applyNumberFormat="1" applyFont="1" applyFill="1" applyBorder="1"/>
    <xf numFmtId="3" fontId="3" fillId="0" borderId="2" xfId="0" applyNumberFormat="1" applyFont="1" applyBorder="1"/>
    <xf numFmtId="0" fontId="3" fillId="3" borderId="2" xfId="0" applyFont="1" applyFill="1" applyBorder="1"/>
    <xf numFmtId="0" fontId="22" fillId="0" borderId="2" xfId="0" applyFont="1" applyBorder="1"/>
    <xf numFmtId="0" fontId="22" fillId="3" borderId="2" xfId="0" applyFont="1" applyFill="1" applyBorder="1"/>
    <xf numFmtId="0" fontId="13" fillId="2" borderId="15" xfId="0" applyFont="1" applyFill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3" fontId="13" fillId="2" borderId="16" xfId="0" applyNumberFormat="1" applyFont="1" applyFill="1" applyBorder="1"/>
    <xf numFmtId="3" fontId="0" fillId="0" borderId="17" xfId="0" applyNumberFormat="1" applyBorder="1"/>
    <xf numFmtId="3" fontId="0" fillId="0" borderId="16" xfId="0" applyNumberFormat="1" applyBorder="1"/>
    <xf numFmtId="3" fontId="0" fillId="2" borderId="0" xfId="0" applyNumberFormat="1" applyFill="1" applyAlignment="1">
      <alignment horizontal="center"/>
    </xf>
    <xf numFmtId="0" fontId="13" fillId="2" borderId="1" xfId="0" applyFont="1" applyFill="1" applyBorder="1" applyAlignment="1">
      <alignment horizontal="center"/>
    </xf>
    <xf numFmtId="164" fontId="16" fillId="15" borderId="2" xfId="0" applyNumberFormat="1" applyFont="1" applyFill="1" applyBorder="1" applyAlignment="1">
      <alignment horizontal="center"/>
    </xf>
    <xf numFmtId="3" fontId="25" fillId="15" borderId="2" xfId="0" applyNumberFormat="1" applyFont="1" applyFill="1" applyBorder="1"/>
    <xf numFmtId="0" fontId="13" fillId="2" borderId="11" xfId="0" applyFont="1" applyFill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left"/>
    </xf>
    <xf numFmtId="0" fontId="13" fillId="0" borderId="14" xfId="0" applyFont="1" applyBorder="1" applyAlignment="1">
      <alignment horizontal="center"/>
    </xf>
    <xf numFmtId="3" fontId="13" fillId="0" borderId="14" xfId="0" applyNumberFormat="1" applyFont="1" applyBorder="1" applyAlignment="1">
      <alignment horizontal="right"/>
    </xf>
    <xf numFmtId="0" fontId="0" fillId="0" borderId="14" xfId="0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49" fontId="16" fillId="0" borderId="14" xfId="0" applyNumberFormat="1" applyFont="1" applyBorder="1" applyAlignment="1">
      <alignment horizontal="center"/>
    </xf>
    <xf numFmtId="3" fontId="13" fillId="0" borderId="19" xfId="0" applyNumberFormat="1" applyFont="1" applyBorder="1" applyAlignment="1">
      <alignment horizontal="right"/>
    </xf>
    <xf numFmtId="0" fontId="13" fillId="0" borderId="15" xfId="0" applyFont="1" applyFill="1" applyBorder="1" applyAlignment="1">
      <alignment horizontal="centerContinuous"/>
    </xf>
    <xf numFmtId="0" fontId="13" fillId="0" borderId="2" xfId="0" applyFont="1" applyFill="1" applyBorder="1" applyAlignment="1">
      <alignment horizontal="centerContinuous"/>
    </xf>
    <xf numFmtId="0" fontId="13" fillId="15" borderId="2" xfId="0" applyFont="1" applyFill="1" applyBorder="1" applyAlignment="1">
      <alignment horizontal="left"/>
    </xf>
    <xf numFmtId="0" fontId="13" fillId="15" borderId="2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right"/>
    </xf>
    <xf numFmtId="0" fontId="0" fillId="15" borderId="2" xfId="0" applyFill="1" applyBorder="1" applyAlignment="1">
      <alignment horizontal="center"/>
    </xf>
    <xf numFmtId="0" fontId="3" fillId="15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49" fontId="16" fillId="0" borderId="2" xfId="0" applyNumberFormat="1" applyFont="1" applyBorder="1" applyAlignment="1">
      <alignment horizontal="center"/>
    </xf>
    <xf numFmtId="3" fontId="13" fillId="0" borderId="2" xfId="0" applyNumberFormat="1" applyFont="1" applyBorder="1" applyAlignment="1">
      <alignment horizontal="right"/>
    </xf>
    <xf numFmtId="3" fontId="13" fillId="0" borderId="16" xfId="0" applyNumberFormat="1" applyFont="1" applyBorder="1" applyAlignment="1">
      <alignment horizontal="right"/>
    </xf>
    <xf numFmtId="164" fontId="13" fillId="2" borderId="15" xfId="0" applyNumberFormat="1" applyFont="1" applyFill="1" applyBorder="1" applyAlignment="1">
      <alignment horizontal="centerContinuous"/>
    </xf>
    <xf numFmtId="10" fontId="13" fillId="2" borderId="2" xfId="0" applyNumberFormat="1" applyFont="1" applyFill="1" applyBorder="1"/>
    <xf numFmtId="164" fontId="16" fillId="0" borderId="15" xfId="0" applyNumberFormat="1" applyFont="1" applyBorder="1" applyAlignment="1">
      <alignment horizontal="centerContinuous"/>
    </xf>
    <xf numFmtId="0" fontId="0" fillId="0" borderId="16" xfId="0" applyBorder="1"/>
    <xf numFmtId="4" fontId="0" fillId="0" borderId="2" xfId="0" applyNumberFormat="1" applyBorder="1"/>
    <xf numFmtId="164" fontId="16" fillId="0" borderId="15" xfId="0" applyNumberFormat="1" applyFont="1" applyFill="1" applyBorder="1" applyAlignment="1">
      <alignment horizontal="centerContinuous"/>
    </xf>
    <xf numFmtId="164" fontId="16" fillId="15" borderId="15" xfId="0" applyNumberFormat="1" applyFont="1" applyFill="1" applyBorder="1" applyAlignment="1">
      <alignment horizontal="centerContinuous"/>
    </xf>
    <xf numFmtId="0" fontId="3" fillId="15" borderId="2" xfId="0" applyFont="1" applyFill="1" applyBorder="1"/>
    <xf numFmtId="0" fontId="0" fillId="15" borderId="2" xfId="0" applyFill="1" applyBorder="1"/>
    <xf numFmtId="10" fontId="0" fillId="15" borderId="2" xfId="0" applyNumberFormat="1" applyFill="1" applyBorder="1"/>
    <xf numFmtId="0" fontId="13" fillId="15" borderId="2" xfId="0" applyFont="1" applyFill="1" applyBorder="1"/>
    <xf numFmtId="0" fontId="0" fillId="15" borderId="16" xfId="0" applyFill="1" applyBorder="1"/>
    <xf numFmtId="3" fontId="11" fillId="3" borderId="2" xfId="0" applyNumberFormat="1" applyFont="1" applyFill="1" applyBorder="1"/>
    <xf numFmtId="3" fontId="3" fillId="3" borderId="2" xfId="0" applyNumberFormat="1" applyFont="1" applyFill="1" applyBorder="1"/>
    <xf numFmtId="3" fontId="22" fillId="3" borderId="2" xfId="0" applyNumberFormat="1" applyFont="1" applyFill="1" applyBorder="1"/>
    <xf numFmtId="3" fontId="3" fillId="0" borderId="2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14" fillId="0" borderId="2" xfId="0" applyFont="1" applyBorder="1"/>
    <xf numFmtId="4" fontId="3" fillId="0" borderId="2" xfId="0" applyNumberFormat="1" applyFont="1" applyBorder="1"/>
    <xf numFmtId="164" fontId="16" fillId="0" borderId="20" xfId="0" applyNumberFormat="1" applyFont="1" applyBorder="1" applyAlignment="1">
      <alignment horizontal="centerContinuous"/>
    </xf>
    <xf numFmtId="164" fontId="16" fillId="0" borderId="21" xfId="0" applyNumberFormat="1" applyFont="1" applyBorder="1" applyAlignment="1">
      <alignment horizontal="center"/>
    </xf>
    <xf numFmtId="0" fontId="16" fillId="0" borderId="21" xfId="0" applyFont="1" applyBorder="1" applyAlignment="1">
      <alignment horizontal="right"/>
    </xf>
    <xf numFmtId="0" fontId="16" fillId="0" borderId="21" xfId="0" applyFont="1" applyFill="1" applyBorder="1" applyAlignment="1">
      <alignment horizontal="right"/>
    </xf>
    <xf numFmtId="0" fontId="16" fillId="0" borderId="21" xfId="0" applyFont="1" applyBorder="1"/>
    <xf numFmtId="3" fontId="25" fillId="0" borderId="21" xfId="0" applyNumberFormat="1" applyFont="1" applyBorder="1"/>
    <xf numFmtId="3" fontId="25" fillId="0" borderId="21" xfId="0" applyNumberFormat="1" applyFont="1" applyFill="1" applyBorder="1"/>
    <xf numFmtId="3" fontId="24" fillId="0" borderId="21" xfId="0" applyNumberFormat="1" applyFont="1" applyFill="1" applyBorder="1"/>
    <xf numFmtId="3" fontId="16" fillId="0" borderId="21" xfId="0" applyNumberFormat="1" applyFont="1" applyBorder="1"/>
    <xf numFmtId="3" fontId="11" fillId="0" borderId="21" xfId="0" applyNumberFormat="1" applyFont="1" applyBorder="1"/>
    <xf numFmtId="0" fontId="3" fillId="0" borderId="21" xfId="0" applyFont="1" applyBorder="1"/>
    <xf numFmtId="0" fontId="0" fillId="0" borderId="21" xfId="0" applyBorder="1"/>
    <xf numFmtId="10" fontId="0" fillId="0" borderId="21" xfId="0" applyNumberFormat="1" applyBorder="1"/>
    <xf numFmtId="3" fontId="0" fillId="0" borderId="21" xfId="0" applyNumberFormat="1" applyBorder="1"/>
    <xf numFmtId="0" fontId="13" fillId="0" borderId="21" xfId="0" applyFont="1" applyBorder="1"/>
    <xf numFmtId="0" fontId="0" fillId="0" borderId="22" xfId="0" applyBorder="1"/>
    <xf numFmtId="0" fontId="13" fillId="0" borderId="23" xfId="0" applyFont="1" applyFill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10" fontId="0" fillId="2" borderId="0" xfId="0" applyNumberFormat="1" applyFill="1" applyAlignment="1">
      <alignment horizontal="center"/>
    </xf>
    <xf numFmtId="166" fontId="0" fillId="0" borderId="0" xfId="0" applyNumberFormat="1"/>
    <xf numFmtId="166" fontId="13" fillId="0" borderId="0" xfId="0" applyNumberFormat="1" applyFont="1"/>
    <xf numFmtId="10" fontId="0" fillId="3" borderId="0" xfId="0" applyNumberFormat="1" applyFill="1"/>
    <xf numFmtId="0" fontId="3" fillId="0" borderId="2" xfId="0" applyFont="1" applyFill="1" applyBorder="1"/>
    <xf numFmtId="3" fontId="3" fillId="2" borderId="2" xfId="0" applyNumberFormat="1" applyFont="1" applyFill="1" applyBorder="1"/>
    <xf numFmtId="0" fontId="0" fillId="0" borderId="5" xfId="0" applyFill="1" applyBorder="1"/>
    <xf numFmtId="3" fontId="0" fillId="0" borderId="5" xfId="0" applyNumberFormat="1" applyFill="1" applyBorder="1"/>
    <xf numFmtId="165" fontId="6" fillId="15" borderId="11" xfId="0" applyNumberFormat="1" applyFont="1" applyFill="1" applyBorder="1" applyAlignment="1">
      <alignment horizontal="center"/>
    </xf>
    <xf numFmtId="0" fontId="6" fillId="15" borderId="8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center"/>
    </xf>
    <xf numFmtId="165" fontId="6" fillId="3" borderId="11" xfId="0" applyNumberFormat="1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3" fontId="19" fillId="3" borderId="2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21" fillId="15" borderId="0" xfId="0" applyFont="1" applyFill="1" applyAlignment="1">
      <alignment horizontal="centerContinuous"/>
    </xf>
    <xf numFmtId="0" fontId="21" fillId="15" borderId="0" xfId="0" applyFont="1" applyFill="1" applyAlignment="1">
      <alignment horizontal="center"/>
    </xf>
    <xf numFmtId="0" fontId="19" fillId="15" borderId="0" xfId="0" applyFont="1" applyFill="1" applyAlignment="1">
      <alignment horizontal="centerContinuous"/>
    </xf>
    <xf numFmtId="165" fontId="0" fillId="15" borderId="0" xfId="0" applyNumberFormat="1" applyFill="1"/>
    <xf numFmtId="0" fontId="21" fillId="8" borderId="0" xfId="0" applyFont="1" applyFill="1" applyAlignment="1">
      <alignment horizontal="centerContinuous"/>
    </xf>
    <xf numFmtId="0" fontId="21" fillId="8" borderId="0" xfId="0" applyFont="1" applyFill="1" applyAlignment="1">
      <alignment horizontal="center"/>
    </xf>
    <xf numFmtId="0" fontId="23" fillId="8" borderId="0" xfId="0" applyFont="1" applyFill="1" applyAlignment="1">
      <alignment horizontal="centerContinuous"/>
    </xf>
    <xf numFmtId="0" fontId="17" fillId="8" borderId="0" xfId="0" applyFont="1" applyFill="1" applyAlignment="1">
      <alignment horizontal="center"/>
    </xf>
    <xf numFmtId="0" fontId="19" fillId="8" borderId="0" xfId="0" applyFont="1" applyFill="1" applyAlignment="1">
      <alignment horizontal="centerContinuous"/>
    </xf>
    <xf numFmtId="165" fontId="0" fillId="8" borderId="0" xfId="0" applyNumberFormat="1" applyFill="1"/>
    <xf numFmtId="165" fontId="6" fillId="8" borderId="11" xfId="0" applyNumberFormat="1" applyFont="1" applyFill="1" applyBorder="1" applyAlignment="1">
      <alignment horizontal="center"/>
    </xf>
    <xf numFmtId="165" fontId="6" fillId="8" borderId="8" xfId="0" applyNumberFormat="1" applyFont="1" applyFill="1" applyBorder="1" applyAlignment="1">
      <alignment horizontal="center"/>
    </xf>
    <xf numFmtId="3" fontId="19" fillId="8" borderId="2" xfId="0" applyNumberFormat="1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0" fontId="6" fillId="8" borderId="11" xfId="0" applyFont="1" applyFill="1" applyBorder="1" applyAlignment="1">
      <alignment horizontal="center"/>
    </xf>
    <xf numFmtId="0" fontId="6" fillId="8" borderId="8" xfId="0" applyFont="1" applyFill="1" applyBorder="1" applyAlignment="1">
      <alignment horizontal="center"/>
    </xf>
    <xf numFmtId="3" fontId="0" fillId="3" borderId="2" xfId="0" applyNumberFormat="1" applyFill="1" applyBorder="1"/>
    <xf numFmtId="3" fontId="0" fillId="8" borderId="0" xfId="0" applyNumberFormat="1" applyFill="1"/>
    <xf numFmtId="0" fontId="5" fillId="0" borderId="25" xfId="0" applyFont="1" applyBorder="1" applyAlignment="1">
      <alignment horizontal="center"/>
    </xf>
    <xf numFmtId="10" fontId="0" fillId="0" borderId="26" xfId="0" applyNumberFormat="1" applyBorder="1"/>
    <xf numFmtId="10" fontId="0" fillId="0" borderId="27" xfId="0" applyNumberFormat="1" applyBorder="1"/>
    <xf numFmtId="0" fontId="0" fillId="0" borderId="25" xfId="0" applyBorder="1"/>
    <xf numFmtId="3" fontId="1" fillId="0" borderId="4" xfId="0" applyNumberFormat="1" applyFont="1" applyBorder="1"/>
    <xf numFmtId="10" fontId="13" fillId="2" borderId="0" xfId="0" applyNumberFormat="1" applyFont="1" applyFill="1" applyBorder="1"/>
    <xf numFmtId="3" fontId="16" fillId="0" borderId="0" xfId="0" applyNumberFormat="1" applyFont="1" applyFill="1"/>
    <xf numFmtId="0" fontId="30" fillId="0" borderId="0" xfId="0" applyFont="1"/>
    <xf numFmtId="0" fontId="5" fillId="0" borderId="12" xfId="0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6" xfId="0" applyFont="1" applyBorder="1"/>
    <xf numFmtId="0" fontId="5" fillId="0" borderId="6" xfId="0" applyFont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2" xfId="0" applyFont="1" applyBorder="1"/>
    <xf numFmtId="9" fontId="0" fillId="0" borderId="0" xfId="0" applyNumberFormat="1" applyFill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5" xfId="0" applyFont="1" applyBorder="1"/>
    <xf numFmtId="0" fontId="5" fillId="0" borderId="5" xfId="0" applyFont="1" applyFill="1" applyBorder="1"/>
    <xf numFmtId="0" fontId="8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3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3" fontId="0" fillId="9" borderId="0" xfId="0" applyNumberFormat="1" applyFill="1"/>
    <xf numFmtId="3" fontId="0" fillId="16" borderId="0" xfId="0" applyNumberFormat="1" applyFill="1" applyAlignment="1">
      <alignment horizontal="right"/>
    </xf>
    <xf numFmtId="3" fontId="5" fillId="9" borderId="0" xfId="0" applyNumberFormat="1" applyFont="1" applyFill="1"/>
    <xf numFmtId="3" fontId="5" fillId="16" borderId="0" xfId="0" applyNumberFormat="1" applyFont="1" applyFill="1"/>
    <xf numFmtId="3" fontId="5" fillId="8" borderId="0" xfId="0" applyNumberFormat="1" applyFont="1" applyFill="1"/>
    <xf numFmtId="3" fontId="0" fillId="0" borderId="0" xfId="0" applyNumberFormat="1" applyFill="1" applyAlignment="1">
      <alignment horizontal="right"/>
    </xf>
    <xf numFmtId="0" fontId="0" fillId="0" borderId="0" xfId="0" applyAlignment="1"/>
    <xf numFmtId="0" fontId="18" fillId="0" borderId="6" xfId="0" applyFont="1" applyFill="1" applyBorder="1"/>
    <xf numFmtId="3" fontId="3" fillId="0" borderId="6" xfId="0" applyNumberFormat="1" applyFont="1" applyFill="1" applyBorder="1"/>
    <xf numFmtId="3" fontId="18" fillId="0" borderId="6" xfId="0" applyNumberFormat="1" applyFont="1" applyFill="1" applyBorder="1"/>
    <xf numFmtId="9" fontId="3" fillId="0" borderId="6" xfId="0" applyNumberFormat="1" applyFont="1" applyFill="1" applyBorder="1" applyAlignment="1">
      <alignment horizontal="center"/>
    </xf>
    <xf numFmtId="0" fontId="18" fillId="0" borderId="2" xfId="0" applyFont="1" applyFill="1" applyBorder="1"/>
    <xf numFmtId="9" fontId="3" fillId="0" borderId="2" xfId="0" applyNumberFormat="1" applyFont="1" applyFill="1" applyBorder="1" applyAlignment="1">
      <alignment horizontal="center"/>
    </xf>
    <xf numFmtId="0" fontId="5" fillId="15" borderId="6" xfId="0" applyFont="1" applyFill="1" applyBorder="1"/>
    <xf numFmtId="3" fontId="0" fillId="15" borderId="6" xfId="0" applyNumberFormat="1" applyFill="1" applyBorder="1"/>
    <xf numFmtId="3" fontId="5" fillId="15" borderId="6" xfId="0" applyNumberFormat="1" applyFont="1" applyFill="1" applyBorder="1"/>
    <xf numFmtId="0" fontId="5" fillId="3" borderId="2" xfId="0" applyFont="1" applyFill="1" applyBorder="1"/>
    <xf numFmtId="3" fontId="0" fillId="3" borderId="6" xfId="0" applyNumberFormat="1" applyFill="1" applyBorder="1"/>
    <xf numFmtId="3" fontId="5" fillId="3" borderId="2" xfId="0" applyNumberFormat="1" applyFont="1" applyFill="1" applyBorder="1"/>
    <xf numFmtId="0" fontId="5" fillId="15" borderId="2" xfId="0" applyFont="1" applyFill="1" applyBorder="1"/>
    <xf numFmtId="3" fontId="5" fillId="15" borderId="2" xfId="0" applyNumberFormat="1" applyFont="1" applyFill="1" applyBorder="1"/>
    <xf numFmtId="0" fontId="0" fillId="3" borderId="2" xfId="0" applyFill="1" applyBorder="1"/>
    <xf numFmtId="3" fontId="5" fillId="15" borderId="0" xfId="0" applyNumberFormat="1" applyFont="1" applyFill="1"/>
    <xf numFmtId="3" fontId="5" fillId="3" borderId="0" xfId="0" applyNumberFormat="1" applyFont="1" applyFill="1"/>
    <xf numFmtId="3" fontId="0" fillId="8" borderId="0" xfId="0" applyNumberFormat="1" applyFill="1" applyAlignment="1">
      <alignment horizontal="right"/>
    </xf>
    <xf numFmtId="0" fontId="5" fillId="2" borderId="4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3" fontId="3" fillId="2" borderId="6" xfId="0" applyNumberFormat="1" applyFont="1" applyFill="1" applyBorder="1"/>
    <xf numFmtId="9" fontId="0" fillId="0" borderId="2" xfId="0" applyNumberFormat="1" applyFill="1" applyBorder="1" applyAlignment="1">
      <alignment horizontal="center"/>
    </xf>
    <xf numFmtId="9" fontId="0" fillId="0" borderId="6" xfId="0" applyNumberFormat="1" applyFill="1" applyBorder="1" applyAlignment="1">
      <alignment horizontal="center"/>
    </xf>
    <xf numFmtId="3" fontId="11" fillId="0" borderId="2" xfId="0" applyNumberFormat="1" applyFont="1" applyFill="1" applyBorder="1" applyAlignment="1">
      <alignment horizontal="right"/>
    </xf>
    <xf numFmtId="0" fontId="2" fillId="0" borderId="0" xfId="0" applyFont="1"/>
    <xf numFmtId="3" fontId="2" fillId="0" borderId="0" xfId="0" applyNumberFormat="1" applyFont="1"/>
    <xf numFmtId="9" fontId="2" fillId="0" borderId="0" xfId="0" applyNumberFormat="1" applyFont="1"/>
    <xf numFmtId="0" fontId="31" fillId="0" borderId="0" xfId="0" applyFont="1"/>
    <xf numFmtId="10" fontId="0" fillId="0" borderId="2" xfId="0" applyNumberFormat="1" applyFill="1" applyBorder="1"/>
    <xf numFmtId="3" fontId="0" fillId="0" borderId="11" xfId="0" applyNumberFormat="1" applyBorder="1"/>
    <xf numFmtId="3" fontId="1" fillId="0" borderId="2" xfId="0" applyNumberFormat="1" applyFont="1" applyFill="1" applyBorder="1"/>
    <xf numFmtId="3" fontId="11" fillId="0" borderId="2" xfId="0" applyNumberFormat="1" applyFont="1" applyFill="1" applyBorder="1" applyAlignment="1"/>
    <xf numFmtId="10" fontId="11" fillId="0" borderId="2" xfId="0" applyNumberFormat="1" applyFont="1" applyBorder="1"/>
    <xf numFmtId="3" fontId="10" fillId="14" borderId="2" xfId="0" applyNumberFormat="1" applyFont="1" applyFill="1" applyBorder="1"/>
    <xf numFmtId="3" fontId="13" fillId="2" borderId="0" xfId="0" applyNumberFormat="1" applyFont="1" applyFill="1"/>
    <xf numFmtId="0" fontId="9" fillId="15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3" fontId="10" fillId="0" borderId="12" xfId="0" applyNumberFormat="1" applyFont="1" applyFill="1" applyBorder="1"/>
    <xf numFmtId="3" fontId="10" fillId="0" borderId="4" xfId="0" applyNumberFormat="1" applyFont="1" applyFill="1" applyBorder="1"/>
    <xf numFmtId="0" fontId="9" fillId="8" borderId="0" xfId="0" applyFont="1" applyFill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0" fillId="0" borderId="18" xfId="0" applyBorder="1"/>
    <xf numFmtId="3" fontId="0" fillId="0" borderId="14" xfId="0" applyNumberFormat="1" applyBorder="1"/>
    <xf numFmtId="3" fontId="0" fillId="0" borderId="19" xfId="0" applyNumberFormat="1" applyBorder="1"/>
    <xf numFmtId="0" fontId="0" fillId="0" borderId="15" xfId="0" applyBorder="1"/>
    <xf numFmtId="0" fontId="0" fillId="0" borderId="20" xfId="0" applyBorder="1"/>
    <xf numFmtId="3" fontId="0" fillId="0" borderId="22" xfId="0" applyNumberFormat="1" applyBorder="1"/>
    <xf numFmtId="3" fontId="0" fillId="0" borderId="2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10" fontId="0" fillId="0" borderId="19" xfId="0" applyNumberFormat="1" applyBorder="1"/>
    <xf numFmtId="10" fontId="0" fillId="0" borderId="16" xfId="0" applyNumberFormat="1" applyBorder="1"/>
    <xf numFmtId="10" fontId="0" fillId="0" borderId="22" xfId="0" applyNumberFormat="1" applyBorder="1"/>
    <xf numFmtId="10" fontId="0" fillId="0" borderId="28" xfId="0" applyNumberFormat="1" applyBorder="1"/>
    <xf numFmtId="10" fontId="0" fillId="0" borderId="17" xfId="0" applyNumberFormat="1" applyBorder="1"/>
    <xf numFmtId="10" fontId="0" fillId="0" borderId="29" xfId="0" applyNumberFormat="1" applyBorder="1"/>
    <xf numFmtId="3" fontId="0" fillId="0" borderId="18" xfId="0" applyNumberFormat="1" applyBorder="1"/>
    <xf numFmtId="3" fontId="0" fillId="0" borderId="15" xfId="0" applyNumberFormat="1" applyBorder="1"/>
    <xf numFmtId="3" fontId="0" fillId="0" borderId="20" xfId="0" applyNumberFormat="1" applyBorder="1"/>
    <xf numFmtId="3" fontId="0" fillId="0" borderId="30" xfId="0" applyNumberFormat="1" applyBorder="1"/>
    <xf numFmtId="3" fontId="0" fillId="0" borderId="11" xfId="0" applyNumberFormat="1" applyBorder="1" applyAlignment="1">
      <alignment horizontal="right"/>
    </xf>
    <xf numFmtId="3" fontId="0" fillId="0" borderId="31" xfId="0" applyNumberFormat="1" applyBorder="1"/>
    <xf numFmtId="10" fontId="0" fillId="0" borderId="32" xfId="0" applyNumberFormat="1" applyBorder="1"/>
    <xf numFmtId="0" fontId="0" fillId="0" borderId="30" xfId="0" applyBorder="1"/>
    <xf numFmtId="0" fontId="0" fillId="0" borderId="31" xfId="0" applyBorder="1"/>
    <xf numFmtId="0" fontId="8" fillId="0" borderId="14" xfId="0" applyFont="1" applyFill="1" applyBorder="1" applyAlignment="1">
      <alignment horizontal="left"/>
    </xf>
    <xf numFmtId="0" fontId="0" fillId="0" borderId="23" xfId="0" applyBorder="1"/>
    <xf numFmtId="0" fontId="0" fillId="0" borderId="24" xfId="0" applyBorder="1"/>
    <xf numFmtId="0" fontId="0" fillId="0" borderId="33" xfId="0" applyBorder="1"/>
    <xf numFmtId="3" fontId="16" fillId="0" borderId="6" xfId="0" applyNumberFormat="1" applyFont="1" applyFill="1" applyBorder="1"/>
    <xf numFmtId="3" fontId="24" fillId="0" borderId="12" xfId="0" applyNumberFormat="1" applyFont="1" applyBorder="1"/>
    <xf numFmtId="0" fontId="24" fillId="0" borderId="12" xfId="0" applyFont="1" applyBorder="1"/>
    <xf numFmtId="0" fontId="28" fillId="0" borderId="2" xfId="0" applyFont="1" applyFill="1" applyBorder="1" applyAlignment="1">
      <alignment horizontal="center"/>
    </xf>
    <xf numFmtId="0" fontId="28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center"/>
    </xf>
    <xf numFmtId="0" fontId="32" fillId="0" borderId="2" xfId="0" applyFont="1" applyFill="1" applyBorder="1" applyAlignment="1">
      <alignment horizontal="center"/>
    </xf>
    <xf numFmtId="0" fontId="28" fillId="0" borderId="2" xfId="0" applyFont="1" applyBorder="1" applyAlignment="1">
      <alignment horizontal="right"/>
    </xf>
    <xf numFmtId="0" fontId="28" fillId="0" borderId="2" xfId="0" applyFont="1" applyFill="1" applyBorder="1"/>
    <xf numFmtId="0" fontId="28" fillId="0" borderId="2" xfId="0" applyFont="1" applyBorder="1" applyAlignment="1">
      <alignment horizontal="center"/>
    </xf>
    <xf numFmtId="3" fontId="32" fillId="0" borderId="0" xfId="0" applyNumberFormat="1" applyFont="1"/>
    <xf numFmtId="10" fontId="1" fillId="0" borderId="2" xfId="0" applyNumberFormat="1" applyFont="1" applyBorder="1"/>
    <xf numFmtId="3" fontId="35" fillId="0" borderId="2" xfId="0" applyNumberFormat="1" applyFont="1" applyBorder="1"/>
    <xf numFmtId="3" fontId="32" fillId="0" borderId="2" xfId="0" applyNumberFormat="1" applyFont="1" applyFill="1" applyBorder="1"/>
    <xf numFmtId="0" fontId="32" fillId="0" borderId="0" xfId="0" applyFont="1" applyFill="1" applyAlignment="1"/>
    <xf numFmtId="3" fontId="32" fillId="0" borderId="2" xfId="0" applyNumberFormat="1" applyFont="1" applyFill="1" applyBorder="1" applyAlignment="1">
      <alignment horizontal="center"/>
    </xf>
    <xf numFmtId="0" fontId="32" fillId="0" borderId="2" xfId="0" applyFont="1" applyBorder="1" applyAlignment="1">
      <alignment horizontal="center"/>
    </xf>
    <xf numFmtId="0" fontId="32" fillId="0" borderId="2" xfId="0" applyFont="1" applyBorder="1" applyAlignment="1"/>
    <xf numFmtId="3" fontId="32" fillId="0" borderId="2" xfId="0" applyNumberFormat="1" applyFont="1" applyBorder="1" applyAlignment="1">
      <alignment horizontal="center"/>
    </xf>
    <xf numFmtId="0" fontId="32" fillId="0" borderId="0" xfId="0" applyFont="1" applyBorder="1" applyAlignment="1"/>
    <xf numFmtId="0" fontId="32" fillId="0" borderId="0" xfId="0" applyFont="1" applyBorder="1" applyAlignment="1">
      <alignment horizontal="center"/>
    </xf>
    <xf numFmtId="0" fontId="32" fillId="0" borderId="0" xfId="0" applyFont="1" applyBorder="1" applyAlignment="1">
      <alignment horizontal="right"/>
    </xf>
    <xf numFmtId="3" fontId="32" fillId="0" borderId="25" xfId="0" applyNumberFormat="1" applyFont="1" applyBorder="1" applyAlignment="1">
      <alignment horizontal="center"/>
    </xf>
    <xf numFmtId="164" fontId="32" fillId="0" borderId="0" xfId="0" applyNumberFormat="1" applyFont="1" applyBorder="1" applyAlignment="1">
      <alignment horizontal="right"/>
    </xf>
    <xf numFmtId="0" fontId="24" fillId="0" borderId="0" xfId="0" applyFont="1" applyAlignment="1">
      <alignment horizontal="left"/>
    </xf>
    <xf numFmtId="3" fontId="24" fillId="0" borderId="26" xfId="0" applyNumberFormat="1" applyFont="1" applyFill="1" applyBorder="1"/>
    <xf numFmtId="0" fontId="34" fillId="0" borderId="0" xfId="0" applyFont="1" applyFill="1" applyBorder="1" applyAlignment="1">
      <alignment horizontal="center"/>
    </xf>
    <xf numFmtId="0" fontId="34" fillId="0" borderId="0" xfId="0" applyFont="1" applyFill="1" applyAlignment="1">
      <alignment horizontal="right"/>
    </xf>
    <xf numFmtId="0" fontId="34" fillId="0" borderId="0" xfId="0" applyFont="1" applyFill="1" applyAlignment="1"/>
    <xf numFmtId="0" fontId="28" fillId="0" borderId="0" xfId="0" applyFont="1" applyFill="1"/>
    <xf numFmtId="3" fontId="28" fillId="0" borderId="0" xfId="0" applyNumberFormat="1" applyFont="1"/>
    <xf numFmtId="3" fontId="28" fillId="0" borderId="26" xfId="0" applyNumberFormat="1" applyFont="1" applyBorder="1"/>
    <xf numFmtId="164" fontId="32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left"/>
    </xf>
    <xf numFmtId="0" fontId="34" fillId="0" borderId="2" xfId="0" applyFont="1" applyBorder="1" applyAlignment="1">
      <alignment horizontal="center"/>
    </xf>
    <xf numFmtId="164" fontId="34" fillId="0" borderId="2" xfId="0" applyNumberFormat="1" applyFont="1" applyBorder="1" applyAlignment="1">
      <alignment horizontal="right"/>
    </xf>
    <xf numFmtId="0" fontId="28" fillId="0" borderId="2" xfId="0" applyFont="1" applyBorder="1" applyAlignment="1">
      <alignment horizontal="left"/>
    </xf>
    <xf numFmtId="0" fontId="28" fillId="0" borderId="2" xfId="0" applyFont="1" applyBorder="1"/>
    <xf numFmtId="49" fontId="32" fillId="0" borderId="2" xfId="0" applyNumberFormat="1" applyFont="1" applyBorder="1" applyAlignment="1">
      <alignment horizontal="right"/>
    </xf>
    <xf numFmtId="0" fontId="32" fillId="0" borderId="5" xfId="0" applyFont="1" applyBorder="1" applyAlignment="1">
      <alignment horizontal="center"/>
    </xf>
    <xf numFmtId="49" fontId="32" fillId="0" borderId="5" xfId="0" applyNumberFormat="1" applyFont="1" applyBorder="1" applyAlignment="1">
      <alignment horizontal="right"/>
    </xf>
    <xf numFmtId="164" fontId="32" fillId="0" borderId="5" xfId="0" applyNumberFormat="1" applyFont="1" applyBorder="1" applyAlignment="1">
      <alignment horizontal="right"/>
    </xf>
    <xf numFmtId="0" fontId="32" fillId="0" borderId="2" xfId="0" applyFont="1" applyBorder="1" applyAlignment="1">
      <alignment horizontal="left"/>
    </xf>
    <xf numFmtId="0" fontId="32" fillId="0" borderId="0" xfId="0" applyFont="1" applyAlignment="1">
      <alignment horizontal="center"/>
    </xf>
    <xf numFmtId="164" fontId="32" fillId="0" borderId="0" xfId="0" applyNumberFormat="1" applyFont="1" applyAlignment="1">
      <alignment horizontal="centerContinuous"/>
    </xf>
    <xf numFmtId="164" fontId="32" fillId="0" borderId="0" xfId="0" applyNumberFormat="1" applyFont="1" applyAlignment="1">
      <alignment horizontal="right"/>
    </xf>
    <xf numFmtId="3" fontId="32" fillId="0" borderId="6" xfId="0" applyNumberFormat="1" applyFont="1" applyFill="1" applyBorder="1"/>
    <xf numFmtId="0" fontId="32" fillId="0" borderId="0" xfId="0" applyFont="1" applyAlignment="1">
      <alignment horizontal="right"/>
    </xf>
    <xf numFmtId="3" fontId="24" fillId="0" borderId="0" xfId="0" applyNumberFormat="1" applyFont="1" applyFill="1"/>
    <xf numFmtId="0" fontId="24" fillId="0" borderId="0" xfId="0" applyFont="1" applyFill="1"/>
    <xf numFmtId="3" fontId="32" fillId="4" borderId="0" xfId="0" applyNumberFormat="1" applyFont="1" applyFill="1"/>
    <xf numFmtId="0" fontId="32" fillId="0" borderId="0" xfId="0" applyFont="1" applyFill="1" applyAlignment="1">
      <alignment horizontal="right"/>
    </xf>
    <xf numFmtId="0" fontId="32" fillId="0" borderId="0" xfId="0" applyFont="1" applyFill="1"/>
    <xf numFmtId="3" fontId="32" fillId="0" borderId="0" xfId="0" applyNumberFormat="1" applyFont="1" applyFill="1"/>
    <xf numFmtId="0" fontId="32" fillId="0" borderId="2" xfId="0" applyFont="1" applyBorder="1" applyAlignment="1">
      <alignment horizontal="centerContinuous"/>
    </xf>
    <xf numFmtId="0" fontId="32" fillId="0" borderId="2" xfId="0" applyFont="1" applyBorder="1" applyAlignment="1">
      <alignment horizontal="right"/>
    </xf>
    <xf numFmtId="3" fontId="24" fillId="0" borderId="2" xfId="0" applyNumberFormat="1" applyFont="1" applyFill="1" applyBorder="1" applyAlignment="1">
      <alignment horizontal="right"/>
    </xf>
    <xf numFmtId="3" fontId="24" fillId="0" borderId="2" xfId="0" applyNumberFormat="1" applyFont="1" applyFill="1" applyBorder="1" applyAlignment="1"/>
    <xf numFmtId="0" fontId="36" fillId="0" borderId="2" xfId="0" applyFont="1" applyFill="1" applyBorder="1" applyAlignment="1"/>
    <xf numFmtId="0" fontId="32" fillId="0" borderId="34" xfId="0" applyFont="1" applyBorder="1" applyAlignment="1">
      <alignment horizontal="center"/>
    </xf>
    <xf numFmtId="164" fontId="32" fillId="0" borderId="34" xfId="0" applyNumberFormat="1" applyFont="1" applyBorder="1" applyAlignment="1">
      <alignment horizontal="right"/>
    </xf>
    <xf numFmtId="164" fontId="32" fillId="0" borderId="25" xfId="0" applyNumberFormat="1" applyFont="1" applyBorder="1" applyAlignment="1">
      <alignment horizontal="right"/>
    </xf>
    <xf numFmtId="0" fontId="32" fillId="0" borderId="6" xfId="0" applyFont="1" applyBorder="1" applyAlignment="1">
      <alignment horizontal="right"/>
    </xf>
    <xf numFmtId="3" fontId="32" fillId="0" borderId="6" xfId="0" applyNumberFormat="1" applyFont="1" applyBorder="1"/>
    <xf numFmtId="3" fontId="32" fillId="0" borderId="0" xfId="0" applyNumberFormat="1" applyFont="1" applyBorder="1"/>
    <xf numFmtId="0" fontId="32" fillId="0" borderId="7" xfId="0" applyFont="1" applyBorder="1" applyAlignment="1">
      <alignment horizontal="center"/>
    </xf>
    <xf numFmtId="164" fontId="32" fillId="0" borderId="7" xfId="0" applyNumberFormat="1" applyFont="1" applyBorder="1" applyAlignment="1">
      <alignment horizontal="right"/>
    </xf>
    <xf numFmtId="3" fontId="32" fillId="0" borderId="7" xfId="0" applyNumberFormat="1" applyFont="1" applyBorder="1"/>
    <xf numFmtId="3" fontId="24" fillId="0" borderId="7" xfId="0" applyNumberFormat="1" applyFont="1" applyBorder="1"/>
    <xf numFmtId="0" fontId="24" fillId="0" borderId="2" xfId="0" applyFont="1" applyBorder="1" applyAlignment="1"/>
    <xf numFmtId="0" fontId="32" fillId="0" borderId="0" xfId="0" applyFont="1" applyAlignment="1">
      <alignment horizontal="centerContinuous"/>
    </xf>
    <xf numFmtId="3" fontId="32" fillId="0" borderId="12" xfId="0" applyNumberFormat="1" applyFont="1" applyBorder="1" applyAlignment="1">
      <alignment horizontal="center"/>
    </xf>
    <xf numFmtId="3" fontId="24" fillId="0" borderId="4" xfId="0" applyNumberFormat="1" applyFont="1" applyFill="1" applyBorder="1"/>
    <xf numFmtId="0" fontId="13" fillId="0" borderId="8" xfId="0" applyFont="1" applyBorder="1" applyAlignment="1">
      <alignment horizontal="center"/>
    </xf>
    <xf numFmtId="0" fontId="32" fillId="0" borderId="2" xfId="0" applyFont="1" applyFill="1" applyBorder="1" applyAlignment="1">
      <alignment horizontal="right"/>
    </xf>
    <xf numFmtId="3" fontId="28" fillId="0" borderId="6" xfId="0" applyNumberFormat="1" applyFont="1" applyFill="1" applyBorder="1"/>
    <xf numFmtId="0" fontId="34" fillId="0" borderId="0" xfId="0" applyFont="1" applyAlignment="1">
      <alignment horizontal="center"/>
    </xf>
    <xf numFmtId="0" fontId="32" fillId="0" borderId="2" xfId="0" applyFont="1" applyBorder="1"/>
    <xf numFmtId="3" fontId="24" fillId="0" borderId="6" xfId="0" applyNumberFormat="1" applyFont="1" applyFill="1" applyBorder="1"/>
    <xf numFmtId="10" fontId="32" fillId="0" borderId="2" xfId="0" applyNumberFormat="1" applyFont="1" applyBorder="1"/>
    <xf numFmtId="10" fontId="32" fillId="0" borderId="6" xfId="0" applyNumberFormat="1" applyFont="1" applyBorder="1"/>
    <xf numFmtId="0" fontId="24" fillId="0" borderId="15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right"/>
    </xf>
    <xf numFmtId="0" fontId="24" fillId="0" borderId="14" xfId="0" applyFont="1" applyBorder="1" applyAlignment="1">
      <alignment wrapText="1"/>
    </xf>
    <xf numFmtId="0" fontId="24" fillId="0" borderId="2" xfId="0" applyFont="1" applyBorder="1" applyAlignment="1">
      <alignment wrapText="1"/>
    </xf>
    <xf numFmtId="0" fontId="28" fillId="0" borderId="2" xfId="0" applyFont="1" applyBorder="1" applyAlignment="1">
      <alignment wrapText="1"/>
    </xf>
    <xf numFmtId="0" fontId="24" fillId="0" borderId="21" xfId="0" applyFont="1" applyBorder="1" applyAlignment="1">
      <alignment wrapText="1"/>
    </xf>
    <xf numFmtId="0" fontId="28" fillId="0" borderId="6" xfId="0" applyFont="1" applyBorder="1" applyAlignment="1">
      <alignment wrapText="1"/>
    </xf>
    <xf numFmtId="0" fontId="24" fillId="0" borderId="35" xfId="0" applyFont="1" applyBorder="1" applyAlignment="1">
      <alignment wrapText="1"/>
    </xf>
    <xf numFmtId="0" fontId="24" fillId="0" borderId="6" xfId="0" applyNumberFormat="1" applyFont="1" applyFill="1" applyBorder="1" applyAlignment="1">
      <alignment horizontal="right"/>
    </xf>
    <xf numFmtId="3" fontId="37" fillId="0" borderId="6" xfId="0" applyNumberFormat="1" applyFont="1" applyFill="1" applyBorder="1"/>
    <xf numFmtId="164" fontId="16" fillId="0" borderId="2" xfId="0" applyNumberFormat="1" applyFont="1" applyBorder="1" applyAlignment="1">
      <alignment horizontal="right"/>
    </xf>
    <xf numFmtId="164" fontId="16" fillId="0" borderId="7" xfId="0" applyNumberFormat="1" applyFont="1" applyBorder="1" applyAlignment="1">
      <alignment horizontal="right"/>
    </xf>
    <xf numFmtId="0" fontId="16" fillId="0" borderId="7" xfId="0" applyFont="1" applyBorder="1"/>
    <xf numFmtId="164" fontId="16" fillId="0" borderId="8" xfId="0" applyNumberFormat="1" applyFont="1" applyBorder="1" applyAlignment="1">
      <alignment horizontal="right"/>
    </xf>
    <xf numFmtId="0" fontId="16" fillId="0" borderId="8" xfId="0" applyFont="1" applyFill="1" applyBorder="1"/>
    <xf numFmtId="0" fontId="16" fillId="0" borderId="5" xfId="0" applyFont="1" applyBorder="1" applyAlignment="1">
      <alignment horizontal="center"/>
    </xf>
    <xf numFmtId="164" fontId="16" fillId="0" borderId="5" xfId="0" applyNumberFormat="1" applyFont="1" applyBorder="1" applyAlignment="1">
      <alignment horizontal="right"/>
    </xf>
    <xf numFmtId="164" fontId="13" fillId="0" borderId="0" xfId="0" applyNumberFormat="1" applyFont="1" applyBorder="1" applyAlignment="1">
      <alignment horizontal="centerContinuous"/>
    </xf>
    <xf numFmtId="0" fontId="13" fillId="0" borderId="0" xfId="0" applyFont="1" applyBorder="1" applyAlignment="1">
      <alignment horizontal="right"/>
    </xf>
    <xf numFmtId="3" fontId="13" fillId="0" borderId="0" xfId="0" applyNumberFormat="1" applyFont="1" applyBorder="1"/>
    <xf numFmtId="0" fontId="16" fillId="0" borderId="0" xfId="0" applyFont="1" applyBorder="1" applyAlignment="1">
      <alignment horizontal="left"/>
    </xf>
    <xf numFmtId="3" fontId="16" fillId="0" borderId="0" xfId="0" applyNumberFormat="1" applyFont="1" applyBorder="1"/>
    <xf numFmtId="0" fontId="14" fillId="0" borderId="7" xfId="0" applyFont="1" applyBorder="1" applyAlignment="1">
      <alignment horizontal="center"/>
    </xf>
    <xf numFmtId="164" fontId="14" fillId="0" borderId="7" xfId="0" applyNumberFormat="1" applyFont="1" applyBorder="1" applyAlignment="1">
      <alignment horizontal="center"/>
    </xf>
    <xf numFmtId="164" fontId="14" fillId="0" borderId="7" xfId="0" applyNumberFormat="1" applyFont="1" applyBorder="1" applyAlignment="1">
      <alignment horizontal="right"/>
    </xf>
    <xf numFmtId="164" fontId="14" fillId="0" borderId="0" xfId="0" applyNumberFormat="1" applyFont="1" applyBorder="1" applyAlignment="1">
      <alignment horizontal="right"/>
    </xf>
    <xf numFmtId="0" fontId="15" fillId="0" borderId="0" xfId="0" applyFont="1" applyBorder="1"/>
    <xf numFmtId="3" fontId="15" fillId="0" borderId="0" xfId="0" applyNumberFormat="1" applyFont="1" applyBorder="1"/>
    <xf numFmtId="0" fontId="13" fillId="0" borderId="0" xfId="0" applyFont="1" applyFill="1" applyAlignment="1">
      <alignment horizontal="left"/>
    </xf>
    <xf numFmtId="0" fontId="13" fillId="0" borderId="0" xfId="0" applyFont="1" applyFill="1" applyAlignment="1"/>
    <xf numFmtId="0" fontId="32" fillId="0" borderId="0" xfId="0" applyFont="1" applyAlignment="1"/>
    <xf numFmtId="165" fontId="32" fillId="3" borderId="11" xfId="0" applyNumberFormat="1" applyFont="1" applyFill="1" applyBorder="1" applyAlignment="1">
      <alignment horizontal="center"/>
    </xf>
    <xf numFmtId="0" fontId="32" fillId="3" borderId="8" xfId="0" applyFont="1" applyFill="1" applyBorder="1" applyAlignment="1">
      <alignment horizontal="center"/>
    </xf>
    <xf numFmtId="0" fontId="32" fillId="3" borderId="11" xfId="0" applyFont="1" applyFill="1" applyBorder="1" applyAlignment="1">
      <alignment horizontal="center"/>
    </xf>
    <xf numFmtId="0" fontId="32" fillId="0" borderId="12" xfId="0" applyFont="1" applyBorder="1" applyAlignment="1">
      <alignment horizontal="center"/>
    </xf>
    <xf numFmtId="3" fontId="24" fillId="0" borderId="0" xfId="0" applyNumberFormat="1" applyFont="1"/>
    <xf numFmtId="3" fontId="32" fillId="3" borderId="2" xfId="0" applyNumberFormat="1" applyFont="1" applyFill="1" applyBorder="1" applyAlignment="1">
      <alignment horizontal="center"/>
    </xf>
    <xf numFmtId="0" fontId="32" fillId="3" borderId="2" xfId="0" applyFont="1" applyFill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34" fillId="0" borderId="2" xfId="0" applyFont="1" applyBorder="1" applyAlignment="1">
      <alignment horizontal="centerContinuous"/>
    </xf>
    <xf numFmtId="3" fontId="32" fillId="0" borderId="11" xfId="0" applyNumberFormat="1" applyFont="1" applyBorder="1" applyAlignment="1">
      <alignment horizontal="center"/>
    </xf>
    <xf numFmtId="0" fontId="24" fillId="0" borderId="6" xfId="0" applyFont="1" applyBorder="1"/>
    <xf numFmtId="0" fontId="34" fillId="0" borderId="0" xfId="0" applyFont="1" applyBorder="1" applyAlignment="1">
      <alignment horizontal="center"/>
    </xf>
    <xf numFmtId="0" fontId="28" fillId="0" borderId="0" xfId="0" applyFont="1" applyFill="1" applyBorder="1"/>
    <xf numFmtId="3" fontId="28" fillId="0" borderId="0" xfId="0" applyNumberFormat="1" applyFont="1" applyBorder="1" applyAlignment="1">
      <alignment horizontal="right"/>
    </xf>
    <xf numFmtId="3" fontId="28" fillId="0" borderId="0" xfId="0" applyNumberFormat="1" applyFont="1" applyAlignment="1">
      <alignment horizontal="right"/>
    </xf>
    <xf numFmtId="10" fontId="24" fillId="0" borderId="0" xfId="0" applyNumberFormat="1" applyFont="1"/>
    <xf numFmtId="164" fontId="34" fillId="0" borderId="0" xfId="0" applyNumberFormat="1" applyFont="1" applyBorder="1" applyAlignment="1">
      <alignment horizontal="center"/>
    </xf>
    <xf numFmtId="3" fontId="28" fillId="0" borderId="0" xfId="0" applyNumberFormat="1" applyFont="1" applyBorder="1"/>
    <xf numFmtId="0" fontId="34" fillId="0" borderId="7" xfId="0" applyFont="1" applyBorder="1" applyAlignment="1">
      <alignment horizontal="center"/>
    </xf>
    <xf numFmtId="164" fontId="34" fillId="0" borderId="7" xfId="0" applyNumberFormat="1" applyFont="1" applyBorder="1" applyAlignment="1">
      <alignment horizontal="center"/>
    </xf>
    <xf numFmtId="0" fontId="28" fillId="0" borderId="7" xfId="0" applyFont="1" applyFill="1" applyBorder="1"/>
    <xf numFmtId="3" fontId="28" fillId="0" borderId="7" xfId="0" applyNumberFormat="1" applyFont="1" applyFill="1" applyBorder="1"/>
    <xf numFmtId="10" fontId="24" fillId="0" borderId="7" xfId="0" applyNumberFormat="1" applyFont="1" applyBorder="1"/>
    <xf numFmtId="164" fontId="32" fillId="0" borderId="0" xfId="0" applyNumberFormat="1" applyFont="1" applyBorder="1" applyAlignment="1">
      <alignment horizontal="centerContinuous"/>
    </xf>
    <xf numFmtId="3" fontId="32" fillId="0" borderId="2" xfId="0" applyNumberFormat="1" applyFont="1" applyBorder="1"/>
    <xf numFmtId="164" fontId="34" fillId="0" borderId="0" xfId="0" applyNumberFormat="1" applyFont="1" applyAlignment="1">
      <alignment horizontal="center"/>
    </xf>
    <xf numFmtId="0" fontId="34" fillId="0" borderId="0" xfId="0" applyNumberFormat="1" applyFont="1" applyAlignment="1">
      <alignment horizontal="right"/>
    </xf>
    <xf numFmtId="164" fontId="34" fillId="0" borderId="0" xfId="0" applyNumberFormat="1" applyFont="1" applyBorder="1" applyAlignment="1">
      <alignment horizontal="right"/>
    </xf>
    <xf numFmtId="10" fontId="24" fillId="0" borderId="0" xfId="0" applyNumberFormat="1" applyFont="1" applyBorder="1"/>
    <xf numFmtId="164" fontId="34" fillId="0" borderId="7" xfId="0" applyNumberFormat="1" applyFont="1" applyBorder="1" applyAlignment="1">
      <alignment horizontal="right"/>
    </xf>
    <xf numFmtId="3" fontId="28" fillId="0" borderId="7" xfId="0" applyNumberFormat="1" applyFont="1" applyBorder="1"/>
    <xf numFmtId="0" fontId="32" fillId="0" borderId="4" xfId="0" applyFont="1" applyBorder="1" applyAlignment="1">
      <alignment horizontal="right"/>
    </xf>
    <xf numFmtId="3" fontId="32" fillId="0" borderId="4" xfId="0" applyNumberFormat="1" applyFont="1" applyBorder="1"/>
    <xf numFmtId="10" fontId="32" fillId="0" borderId="0" xfId="0" applyNumberFormat="1" applyFont="1" applyBorder="1"/>
    <xf numFmtId="10" fontId="32" fillId="0" borderId="4" xfId="0" applyNumberFormat="1" applyFont="1" applyBorder="1"/>
    <xf numFmtId="3" fontId="24" fillId="0" borderId="10" xfId="0" applyNumberFormat="1" applyFont="1" applyBorder="1"/>
    <xf numFmtId="10" fontId="24" fillId="0" borderId="2" xfId="0" applyNumberFormat="1" applyFont="1" applyBorder="1"/>
    <xf numFmtId="10" fontId="24" fillId="0" borderId="6" xfId="0" applyNumberFormat="1" applyFont="1" applyBorder="1"/>
    <xf numFmtId="3" fontId="24" fillId="0" borderId="10" xfId="0" applyNumberFormat="1" applyFont="1" applyFill="1" applyBorder="1"/>
    <xf numFmtId="3" fontId="28" fillId="0" borderId="10" xfId="0" applyNumberFormat="1" applyFont="1" applyFill="1" applyBorder="1"/>
    <xf numFmtId="10" fontId="28" fillId="0" borderId="2" xfId="0" applyNumberFormat="1" applyFont="1" applyBorder="1"/>
    <xf numFmtId="10" fontId="28" fillId="0" borderId="6" xfId="0" applyNumberFormat="1" applyFont="1" applyBorder="1"/>
    <xf numFmtId="3" fontId="34" fillId="0" borderId="0" xfId="0" applyNumberFormat="1" applyFont="1" applyBorder="1"/>
    <xf numFmtId="0" fontId="37" fillId="0" borderId="6" xfId="0" applyFont="1" applyFill="1" applyBorder="1"/>
    <xf numFmtId="164" fontId="32" fillId="0" borderId="7" xfId="0" applyNumberFormat="1" applyFont="1" applyBorder="1" applyAlignment="1">
      <alignment horizontal="center"/>
    </xf>
    <xf numFmtId="164" fontId="32" fillId="0" borderId="7" xfId="0" applyNumberFormat="1" applyFont="1" applyBorder="1" applyAlignment="1">
      <alignment horizontal="centerContinuous"/>
    </xf>
    <xf numFmtId="0" fontId="24" fillId="0" borderId="7" xfId="0" applyFont="1" applyBorder="1" applyAlignment="1">
      <alignment horizontal="left"/>
    </xf>
    <xf numFmtId="3" fontId="24" fillId="0" borderId="0" xfId="0" applyNumberFormat="1" applyFont="1" applyBorder="1"/>
    <xf numFmtId="0" fontId="1" fillId="0" borderId="0" xfId="0" applyFont="1"/>
    <xf numFmtId="0" fontId="38" fillId="0" borderId="0" xfId="0" applyFont="1" applyAlignment="1">
      <alignment horizontal="center"/>
    </xf>
    <xf numFmtId="0" fontId="35" fillId="0" borderId="2" xfId="0" applyFont="1" applyBorder="1"/>
    <xf numFmtId="3" fontId="39" fillId="4" borderId="2" xfId="0" applyNumberFormat="1" applyFont="1" applyFill="1" applyBorder="1"/>
    <xf numFmtId="0" fontId="1" fillId="0" borderId="2" xfId="0" applyFont="1" applyBorder="1"/>
    <xf numFmtId="3" fontId="36" fillId="14" borderId="2" xfId="0" applyNumberFormat="1" applyFont="1" applyFill="1" applyBorder="1"/>
    <xf numFmtId="0" fontId="32" fillId="15" borderId="0" xfId="0" applyFont="1" applyFill="1" applyAlignment="1">
      <alignment horizontal="center"/>
    </xf>
    <xf numFmtId="0" fontId="33" fillId="3" borderId="0" xfId="0" applyFont="1" applyFill="1" applyAlignment="1">
      <alignment horizontal="center"/>
    </xf>
    <xf numFmtId="0" fontId="12" fillId="3" borderId="8" xfId="0" applyFont="1" applyFill="1" applyBorder="1" applyAlignment="1">
      <alignment horizontal="center"/>
    </xf>
    <xf numFmtId="0" fontId="13" fillId="0" borderId="2" xfId="0" applyNumberFormat="1" applyFont="1" applyBorder="1" applyAlignment="1">
      <alignment horizontal="right"/>
    </xf>
    <xf numFmtId="0" fontId="33" fillId="8" borderId="0" xfId="0" applyFont="1" applyFill="1" applyAlignment="1">
      <alignment horizontal="center"/>
    </xf>
    <xf numFmtId="0" fontId="28" fillId="0" borderId="15" xfId="0" applyNumberFormat="1" applyFont="1" applyFill="1" applyBorder="1" applyAlignment="1">
      <alignment horizontal="center"/>
    </xf>
    <xf numFmtId="0" fontId="28" fillId="0" borderId="2" xfId="0" applyNumberFormat="1" applyFont="1" applyFill="1" applyBorder="1" applyAlignment="1">
      <alignment horizontal="center"/>
    </xf>
    <xf numFmtId="0" fontId="36" fillId="0" borderId="2" xfId="0" applyFont="1" applyBorder="1"/>
    <xf numFmtId="0" fontId="40" fillId="0" borderId="0" xfId="0" applyFont="1"/>
    <xf numFmtId="0" fontId="40" fillId="0" borderId="2" xfId="0" applyFont="1" applyBorder="1"/>
    <xf numFmtId="0" fontId="36" fillId="0" borderId="2" xfId="0" applyFont="1" applyFill="1" applyBorder="1" applyAlignment="1">
      <alignment horizontal="left" wrapText="1"/>
    </xf>
    <xf numFmtId="0" fontId="39" fillId="0" borderId="2" xfId="0" applyFont="1" applyBorder="1" applyAlignment="1">
      <alignment wrapText="1"/>
    </xf>
    <xf numFmtId="3" fontId="39" fillId="14" borderId="2" xfId="0" applyNumberFormat="1" applyFont="1" applyFill="1" applyBorder="1"/>
    <xf numFmtId="0" fontId="39" fillId="0" borderId="6" xfId="0" applyFont="1" applyBorder="1" applyAlignment="1">
      <alignment wrapText="1"/>
    </xf>
    <xf numFmtId="0" fontId="39" fillId="0" borderId="21" xfId="0" applyFont="1" applyFill="1" applyBorder="1" applyAlignment="1">
      <alignment horizontal="left" wrapText="1"/>
    </xf>
    <xf numFmtId="0" fontId="39" fillId="0" borderId="4" xfId="0" applyFont="1" applyBorder="1" applyAlignment="1">
      <alignment horizontal="left"/>
    </xf>
    <xf numFmtId="164" fontId="32" fillId="0" borderId="26" xfId="0" applyNumberFormat="1" applyFont="1" applyBorder="1" applyAlignment="1">
      <alignment horizontal="right"/>
    </xf>
    <xf numFmtId="0" fontId="34" fillId="0" borderId="6" xfId="0" applyFont="1" applyBorder="1" applyAlignment="1">
      <alignment horizontal="center"/>
    </xf>
    <xf numFmtId="164" fontId="34" fillId="0" borderId="6" xfId="0" applyNumberFormat="1" applyFont="1" applyBorder="1" applyAlignment="1">
      <alignment horizontal="right"/>
    </xf>
    <xf numFmtId="3" fontId="36" fillId="14" borderId="6" xfId="0" applyNumberFormat="1" applyFont="1" applyFill="1" applyBorder="1"/>
    <xf numFmtId="3" fontId="39" fillId="14" borderId="2" xfId="0" applyNumberFormat="1" applyFont="1" applyFill="1" applyBorder="1" applyAlignment="1"/>
    <xf numFmtId="0" fontId="26" fillId="0" borderId="2" xfId="0" applyFont="1" applyBorder="1" applyAlignment="1">
      <alignment horizontal="left"/>
    </xf>
    <xf numFmtId="3" fontId="26" fillId="14" borderId="12" xfId="0" applyNumberFormat="1" applyFont="1" applyFill="1" applyBorder="1"/>
    <xf numFmtId="3" fontId="39" fillId="14" borderId="6" xfId="0" applyNumberFormat="1" applyFont="1" applyFill="1" applyBorder="1"/>
    <xf numFmtId="3" fontId="39" fillId="14" borderId="10" xfId="0" applyNumberFormat="1" applyFont="1" applyFill="1" applyBorder="1"/>
    <xf numFmtId="3" fontId="36" fillId="14" borderId="10" xfId="0" applyNumberFormat="1" applyFont="1" applyFill="1" applyBorder="1"/>
    <xf numFmtId="3" fontId="28" fillId="0" borderId="2" xfId="0" applyNumberFormat="1" applyFont="1" applyBorder="1" applyAlignment="1">
      <alignment horizontal="right"/>
    </xf>
    <xf numFmtId="164" fontId="34" fillId="0" borderId="2" xfId="0" applyNumberFormat="1" applyFont="1" applyBorder="1" applyAlignment="1">
      <alignment horizontal="center"/>
    </xf>
    <xf numFmtId="164" fontId="36" fillId="0" borderId="2" xfId="0" applyNumberFormat="1" applyFont="1" applyFill="1" applyBorder="1"/>
    <xf numFmtId="3" fontId="36" fillId="0" borderId="2" xfId="0" applyNumberFormat="1" applyFont="1" applyFill="1" applyBorder="1"/>
    <xf numFmtId="3" fontId="36" fillId="14" borderId="2" xfId="0" applyNumberFormat="1" applyFont="1" applyFill="1" applyBorder="1" applyAlignment="1">
      <alignment horizontal="right"/>
    </xf>
    <xf numFmtId="0" fontId="32" fillId="0" borderId="0" xfId="0" applyFont="1" applyBorder="1"/>
    <xf numFmtId="10" fontId="41" fillId="0" borderId="2" xfId="0" applyNumberFormat="1" applyFont="1" applyBorder="1"/>
    <xf numFmtId="10" fontId="41" fillId="0" borderId="6" xfId="0" applyNumberFormat="1" applyFont="1" applyBorder="1"/>
    <xf numFmtId="0" fontId="28" fillId="0" borderId="2" xfId="0" applyFont="1" applyBorder="1" applyAlignment="1">
      <alignment horizontal="centerContinuous"/>
    </xf>
    <xf numFmtId="0" fontId="28" fillId="0" borderId="2" xfId="0" applyNumberFormat="1" applyFont="1" applyFill="1" applyBorder="1" applyAlignment="1">
      <alignment horizontal="right"/>
    </xf>
    <xf numFmtId="0" fontId="24" fillId="0" borderId="6" xfId="0" applyFont="1" applyBorder="1" applyAlignment="1">
      <alignment horizontal="center"/>
    </xf>
    <xf numFmtId="164" fontId="24" fillId="0" borderId="6" xfId="0" applyNumberFormat="1" applyFont="1" applyBorder="1" applyAlignment="1">
      <alignment horizontal="center"/>
    </xf>
    <xf numFmtId="164" fontId="24" fillId="0" borderId="6" xfId="0" applyNumberFormat="1" applyFont="1" applyBorder="1" applyAlignment="1">
      <alignment horizontal="right"/>
    </xf>
    <xf numFmtId="0" fontId="24" fillId="0" borderId="6" xfId="0" applyFont="1" applyFill="1" applyBorder="1"/>
    <xf numFmtId="0" fontId="33" fillId="15" borderId="0" xfId="0" applyFont="1" applyFill="1" applyAlignment="1">
      <alignment horizontal="center"/>
    </xf>
    <xf numFmtId="0" fontId="39" fillId="0" borderId="2" xfId="0" applyFont="1" applyFill="1" applyBorder="1"/>
    <xf numFmtId="0" fontId="32" fillId="2" borderId="0" xfId="0" applyFont="1" applyFill="1" applyAlignment="1">
      <alignment horizontal="left"/>
    </xf>
    <xf numFmtId="0" fontId="32" fillId="2" borderId="0" xfId="0" applyFont="1" applyFill="1" applyAlignment="1">
      <alignment horizontal="right"/>
    </xf>
    <xf numFmtId="0" fontId="32" fillId="2" borderId="0" xfId="0" applyFont="1" applyFill="1"/>
    <xf numFmtId="3" fontId="32" fillId="2" borderId="0" xfId="0" applyNumberFormat="1" applyFont="1" applyFill="1"/>
    <xf numFmtId="10" fontId="13" fillId="2" borderId="0" xfId="0" applyNumberFormat="1" applyFont="1" applyFill="1"/>
    <xf numFmtId="0" fontId="32" fillId="2" borderId="0" xfId="0" applyFont="1" applyFill="1" applyAlignment="1"/>
    <xf numFmtId="0" fontId="16" fillId="2" borderId="0" xfId="0" applyFont="1" applyFill="1"/>
    <xf numFmtId="0" fontId="13" fillId="2" borderId="0" xfId="0" applyFont="1" applyFill="1" applyAlignment="1">
      <alignment horizontal="left"/>
    </xf>
    <xf numFmtId="10" fontId="32" fillId="2" borderId="0" xfId="0" applyNumberFormat="1" applyFont="1" applyFill="1"/>
    <xf numFmtId="0" fontId="5" fillId="2" borderId="0" xfId="0" applyFont="1" applyFill="1"/>
    <xf numFmtId="0" fontId="13" fillId="2" borderId="0" xfId="0" applyFont="1" applyFill="1" applyAlignment="1"/>
    <xf numFmtId="0" fontId="19" fillId="2" borderId="0" xfId="0" applyFont="1" applyFill="1" applyAlignment="1"/>
    <xf numFmtId="3" fontId="24" fillId="0" borderId="7" xfId="0" applyNumberFormat="1" applyFont="1" applyFill="1" applyBorder="1"/>
    <xf numFmtId="0" fontId="42" fillId="0" borderId="2" xfId="0" applyFont="1" applyBorder="1"/>
    <xf numFmtId="3" fontId="36" fillId="0" borderId="10" xfId="0" applyNumberFormat="1" applyFont="1" applyBorder="1"/>
    <xf numFmtId="3" fontId="39" fillId="0" borderId="10" xfId="0" applyNumberFormat="1" applyFont="1" applyBorder="1"/>
    <xf numFmtId="3" fontId="39" fillId="14" borderId="6" xfId="0" applyNumberFormat="1" applyFont="1" applyFill="1" applyBorder="1" applyAlignment="1">
      <alignment horizontal="right"/>
    </xf>
    <xf numFmtId="164" fontId="32" fillId="0" borderId="5" xfId="0" applyNumberFormat="1" applyFont="1" applyBorder="1" applyAlignment="1">
      <alignment horizontal="centerContinuous"/>
    </xf>
    <xf numFmtId="164" fontId="32" fillId="0" borderId="8" xfId="0" applyNumberFormat="1" applyFont="1" applyBorder="1" applyAlignment="1">
      <alignment horizontal="centerContinuous"/>
    </xf>
    <xf numFmtId="3" fontId="39" fillId="14" borderId="2" xfId="0" applyNumberFormat="1" applyFont="1" applyFill="1" applyBorder="1" applyAlignment="1">
      <alignment horizontal="right"/>
    </xf>
    <xf numFmtId="3" fontId="10" fillId="0" borderId="2" xfId="0" applyNumberFormat="1" applyFont="1" applyFill="1" applyBorder="1" applyAlignment="1"/>
    <xf numFmtId="3" fontId="48" fillId="17" borderId="2" xfId="0" applyNumberFormat="1" applyFont="1" applyFill="1" applyBorder="1"/>
    <xf numFmtId="3" fontId="49" fillId="17" borderId="2" xfId="0" applyNumberFormat="1" applyFont="1" applyFill="1" applyBorder="1"/>
    <xf numFmtId="10" fontId="49" fillId="17" borderId="2" xfId="0" applyNumberFormat="1" applyFont="1" applyFill="1" applyBorder="1"/>
    <xf numFmtId="0" fontId="49" fillId="17" borderId="2" xfId="0" applyFont="1" applyFill="1" applyBorder="1"/>
    <xf numFmtId="0" fontId="44" fillId="0" borderId="15" xfId="0" applyFont="1" applyFill="1" applyBorder="1" applyAlignment="1">
      <alignment horizontal="right"/>
    </xf>
    <xf numFmtId="0" fontId="44" fillId="0" borderId="0" xfId="0" applyFont="1" applyFill="1" applyBorder="1" applyAlignment="1">
      <alignment horizontal="center"/>
    </xf>
    <xf numFmtId="3" fontId="45" fillId="0" borderId="0" xfId="0" applyNumberFormat="1" applyFont="1" applyFill="1" applyBorder="1"/>
    <xf numFmtId="0" fontId="44" fillId="0" borderId="29" xfId="0" applyFont="1" applyFill="1" applyBorder="1" applyAlignment="1">
      <alignment horizontal="center"/>
    </xf>
    <xf numFmtId="3" fontId="45" fillId="0" borderId="29" xfId="0" applyNumberFormat="1" applyFont="1" applyFill="1" applyBorder="1"/>
    <xf numFmtId="4" fontId="43" fillId="0" borderId="6" xfId="0" applyNumberFormat="1" applyFont="1" applyBorder="1"/>
    <xf numFmtId="4" fontId="43" fillId="0" borderId="2" xfId="0" applyNumberFormat="1" applyFont="1" applyBorder="1"/>
    <xf numFmtId="4" fontId="43" fillId="0" borderId="16" xfId="0" applyNumberFormat="1" applyFont="1" applyBorder="1"/>
    <xf numFmtId="0" fontId="2" fillId="0" borderId="1" xfId="0" applyFont="1" applyFill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14" fontId="33" fillId="0" borderId="1" xfId="0" applyNumberFormat="1" applyFont="1" applyBorder="1" applyAlignment="1">
      <alignment horizontal="center" vertical="center"/>
    </xf>
    <xf numFmtId="49" fontId="33" fillId="0" borderId="1" xfId="0" applyNumberFormat="1" applyFont="1" applyBorder="1" applyAlignment="1">
      <alignment horizontal="center" vertical="center"/>
    </xf>
    <xf numFmtId="0" fontId="44" fillId="0" borderId="0" xfId="0" applyFont="1" applyBorder="1"/>
    <xf numFmtId="0" fontId="44" fillId="0" borderId="0" xfId="0" applyFont="1"/>
    <xf numFmtId="0" fontId="45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44" fillId="0" borderId="37" xfId="0" applyFont="1" applyFill="1" applyBorder="1" applyAlignment="1">
      <alignment horizontal="right"/>
    </xf>
    <xf numFmtId="3" fontId="49" fillId="17" borderId="6" xfId="0" applyNumberFormat="1" applyFont="1" applyFill="1" applyBorder="1"/>
    <xf numFmtId="1" fontId="49" fillId="17" borderId="6" xfId="0" applyNumberFormat="1" applyFont="1" applyFill="1" applyBorder="1"/>
    <xf numFmtId="4" fontId="43" fillId="0" borderId="17" xfId="0" applyNumberFormat="1" applyFont="1" applyBorder="1"/>
    <xf numFmtId="0" fontId="43" fillId="0" borderId="0" xfId="0" applyFont="1"/>
    <xf numFmtId="3" fontId="48" fillId="17" borderId="6" xfId="0" applyNumberFormat="1" applyFont="1" applyFill="1" applyBorder="1" applyAlignment="1">
      <alignment horizontal="center"/>
    </xf>
    <xf numFmtId="1" fontId="48" fillId="17" borderId="6" xfId="0" applyNumberFormat="1" applyFont="1" applyFill="1" applyBorder="1" applyAlignment="1">
      <alignment horizontal="center"/>
    </xf>
    <xf numFmtId="1" fontId="49" fillId="17" borderId="6" xfId="0" applyNumberFormat="1" applyFont="1" applyFill="1" applyBorder="1" applyAlignment="1">
      <alignment horizontal="center"/>
    </xf>
    <xf numFmtId="1" fontId="49" fillId="17" borderId="2" xfId="0" applyNumberFormat="1" applyFont="1" applyFill="1" applyBorder="1" applyAlignment="1">
      <alignment horizontal="center"/>
    </xf>
    <xf numFmtId="3" fontId="48" fillId="17" borderId="2" xfId="0" applyNumberFormat="1" applyFont="1" applyFill="1" applyBorder="1" applyAlignment="1">
      <alignment horizontal="center"/>
    </xf>
    <xf numFmtId="4" fontId="43" fillId="0" borderId="2" xfId="0" applyNumberFormat="1" applyFont="1" applyFill="1" applyBorder="1"/>
    <xf numFmtId="3" fontId="48" fillId="0" borderId="2" xfId="0" applyNumberFormat="1" applyFont="1" applyFill="1" applyBorder="1"/>
    <xf numFmtId="4" fontId="44" fillId="0" borderId="29" xfId="0" applyNumberFormat="1" applyFont="1" applyBorder="1"/>
    <xf numFmtId="4" fontId="44" fillId="0" borderId="36" xfId="0" applyNumberFormat="1" applyFont="1" applyBorder="1"/>
    <xf numFmtId="4" fontId="44" fillId="0" borderId="44" xfId="0" applyNumberFormat="1" applyFont="1" applyBorder="1"/>
    <xf numFmtId="14" fontId="44" fillId="0" borderId="0" xfId="0" applyNumberFormat="1" applyFont="1"/>
    <xf numFmtId="0" fontId="0" fillId="0" borderId="29" xfId="0" applyFont="1" applyBorder="1" applyAlignment="1">
      <alignment horizontal="center"/>
    </xf>
    <xf numFmtId="0" fontId="0" fillId="0" borderId="29" xfId="0" applyBorder="1" applyAlignment="1"/>
    <xf numFmtId="0" fontId="0" fillId="0" borderId="0" xfId="0" applyFont="1" applyBorder="1" applyAlignment="1">
      <alignment horizontal="center"/>
    </xf>
    <xf numFmtId="0" fontId="0" fillId="0" borderId="0" xfId="0" applyBorder="1" applyAlignment="1"/>
    <xf numFmtId="0" fontId="0" fillId="0" borderId="0" xfId="0" applyAlignment="1"/>
    <xf numFmtId="0" fontId="33" fillId="0" borderId="0" xfId="0" applyFont="1" applyAlignment="1">
      <alignment horizontal="left"/>
    </xf>
    <xf numFmtId="0" fontId="43" fillId="0" borderId="0" xfId="0" applyFont="1" applyAlignment="1"/>
    <xf numFmtId="1" fontId="49" fillId="17" borderId="6" xfId="0" applyNumberFormat="1" applyFont="1" applyFill="1" applyBorder="1" applyAlignment="1"/>
    <xf numFmtId="1" fontId="48" fillId="17" borderId="6" xfId="0" applyNumberFormat="1" applyFont="1" applyFill="1" applyBorder="1" applyAlignment="1"/>
    <xf numFmtId="1" fontId="48" fillId="0" borderId="6" xfId="0" applyNumberFormat="1" applyFont="1" applyFill="1" applyBorder="1" applyAlignment="1"/>
    <xf numFmtId="4" fontId="43" fillId="0" borderId="6" xfId="0" applyNumberFormat="1" applyFont="1" applyBorder="1" applyAlignment="1"/>
    <xf numFmtId="4" fontId="43" fillId="0" borderId="17" xfId="0" applyNumberFormat="1" applyFont="1" applyBorder="1" applyAlignment="1"/>
    <xf numFmtId="4" fontId="44" fillId="0" borderId="1" xfId="0" applyNumberFormat="1" applyFont="1" applyBorder="1" applyAlignment="1">
      <alignment horizontal="right"/>
    </xf>
    <xf numFmtId="3" fontId="49" fillId="0" borderId="0" xfId="0" applyNumberFormat="1" applyFont="1" applyFill="1" applyBorder="1" applyAlignment="1"/>
    <xf numFmtId="3" fontId="49" fillId="0" borderId="29" xfId="0" applyNumberFormat="1" applyFont="1" applyFill="1" applyBorder="1" applyAlignment="1"/>
    <xf numFmtId="1" fontId="49" fillId="17" borderId="2" xfId="0" applyNumberFormat="1" applyFont="1" applyFill="1" applyBorder="1" applyAlignment="1"/>
    <xf numFmtId="3" fontId="48" fillId="17" borderId="2" xfId="0" applyNumberFormat="1" applyFont="1" applyFill="1" applyBorder="1" applyAlignment="1"/>
    <xf numFmtId="4" fontId="43" fillId="0" borderId="2" xfId="0" applyNumberFormat="1" applyFont="1" applyBorder="1" applyAlignment="1"/>
    <xf numFmtId="4" fontId="43" fillId="0" borderId="16" xfId="0" applyNumberFormat="1" applyFont="1" applyBorder="1" applyAlignment="1"/>
    <xf numFmtId="0" fontId="44" fillId="0" borderId="0" xfId="0" applyFont="1" applyAlignment="1"/>
    <xf numFmtId="0" fontId="45" fillId="0" borderId="0" xfId="0" applyFont="1" applyAlignment="1"/>
    <xf numFmtId="0" fontId="0" fillId="0" borderId="0" xfId="0" applyAlignment="1"/>
    <xf numFmtId="0" fontId="46" fillId="0" borderId="44" xfId="0" applyFont="1" applyBorder="1" applyAlignment="1">
      <alignment horizontal="center" vertical="center"/>
    </xf>
    <xf numFmtId="0" fontId="46" fillId="0" borderId="29" xfId="0" applyFont="1" applyBorder="1" applyAlignment="1">
      <alignment horizontal="center" vertical="center"/>
    </xf>
    <xf numFmtId="0" fontId="46" fillId="0" borderId="36" xfId="0" applyFont="1" applyBorder="1" applyAlignment="1">
      <alignment horizontal="center" vertical="center"/>
    </xf>
    <xf numFmtId="0" fontId="47" fillId="0" borderId="0" xfId="0" applyFont="1" applyAlignment="1">
      <alignment horizontal="center"/>
    </xf>
    <xf numFmtId="3" fontId="49" fillId="17" borderId="31" xfId="0" applyNumberFormat="1" applyFont="1" applyFill="1" applyBorder="1" applyAlignment="1"/>
    <xf numFmtId="0" fontId="0" fillId="0" borderId="41" xfId="0" applyBorder="1" applyAlignment="1"/>
    <xf numFmtId="0" fontId="0" fillId="0" borderId="43" xfId="0" applyBorder="1" applyAlignment="1"/>
    <xf numFmtId="0" fontId="33" fillId="0" borderId="0" xfId="0" applyNumberFormat="1" applyFont="1" applyAlignment="1">
      <alignment horizontal="left"/>
    </xf>
    <xf numFmtId="0" fontId="0" fillId="0" borderId="0" xfId="0" applyNumberFormat="1" applyAlignment="1"/>
    <xf numFmtId="0" fontId="33" fillId="0" borderId="0" xfId="0" applyFont="1" applyAlignment="1">
      <alignment horizontal="left"/>
    </xf>
    <xf numFmtId="0" fontId="43" fillId="0" borderId="0" xfId="0" applyFont="1" applyAlignment="1"/>
    <xf numFmtId="0" fontId="44" fillId="0" borderId="38" xfId="0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3" fontId="49" fillId="17" borderId="11" xfId="0" applyNumberFormat="1" applyFont="1" applyFill="1" applyBorder="1" applyAlignment="1">
      <alignment wrapText="1"/>
    </xf>
    <xf numFmtId="0" fontId="0" fillId="0" borderId="5" xfId="0" applyBorder="1" applyAlignment="1">
      <alignment wrapText="1"/>
    </xf>
    <xf numFmtId="0" fontId="0" fillId="0" borderId="39" xfId="0" applyBorder="1" applyAlignment="1">
      <alignment wrapText="1"/>
    </xf>
    <xf numFmtId="0" fontId="2" fillId="19" borderId="45" xfId="0" applyFont="1" applyFill="1" applyBorder="1" applyAlignment="1">
      <alignment horizontal="left" vertical="center"/>
    </xf>
    <xf numFmtId="0" fontId="0" fillId="19" borderId="46" xfId="0" applyFill="1" applyBorder="1" applyAlignment="1">
      <alignment horizontal="left" vertical="center"/>
    </xf>
    <xf numFmtId="0" fontId="0" fillId="19" borderId="47" xfId="0" applyFill="1" applyBorder="1" applyAlignment="1">
      <alignment horizontal="left" vertical="center"/>
    </xf>
    <xf numFmtId="0" fontId="45" fillId="18" borderId="45" xfId="0" applyFont="1" applyFill="1" applyBorder="1" applyAlignment="1">
      <alignment horizontal="left"/>
    </xf>
    <xf numFmtId="0" fontId="19" fillId="18" borderId="46" xfId="0" applyFont="1" applyFill="1" applyBorder="1" applyAlignment="1">
      <alignment horizontal="left"/>
    </xf>
    <xf numFmtId="0" fontId="19" fillId="18" borderId="47" xfId="0" applyFont="1" applyFill="1" applyBorder="1" applyAlignment="1">
      <alignment horizontal="left"/>
    </xf>
    <xf numFmtId="0" fontId="44" fillId="0" borderId="0" xfId="0" applyFont="1" applyAlignment="1">
      <alignment horizontal="left" vertical="center" wrapText="1"/>
    </xf>
    <xf numFmtId="0" fontId="44" fillId="0" borderId="40" xfId="0" applyFont="1" applyFill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3" fontId="49" fillId="0" borderId="11" xfId="0" applyNumberFormat="1" applyFont="1" applyFill="1" applyBorder="1" applyAlignment="1"/>
    <xf numFmtId="0" fontId="0" fillId="0" borderId="5" xfId="0" applyFill="1" applyBorder="1" applyAlignment="1"/>
    <xf numFmtId="0" fontId="0" fillId="0" borderId="39" xfId="0" applyFill="1" applyBorder="1" applyAlignment="1"/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4.xml"/><Relationship Id="rId13" Type="http://schemas.openxmlformats.org/officeDocument/2006/relationships/worksheet" Target="worksheets/sheet9.xml"/><Relationship Id="rId1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worksheet" Target="worksheets/sheet3.xml"/><Relationship Id="rId12" Type="http://schemas.openxmlformats.org/officeDocument/2006/relationships/worksheet" Target="worksheets/sheet8.xml"/><Relationship Id="rId17" Type="http://schemas.openxmlformats.org/officeDocument/2006/relationships/styles" Target="styles.xml"/><Relationship Id="rId2" Type="http://schemas.openxmlformats.org/officeDocument/2006/relationships/chartsheet" Target="chartsheets/sheet1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1" Type="http://schemas.openxmlformats.org/officeDocument/2006/relationships/worksheet" Target="worksheets/sheet7.xml"/><Relationship Id="rId5" Type="http://schemas.openxmlformats.org/officeDocument/2006/relationships/chartsheet" Target="chartsheets/sheet3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6.xml"/><Relationship Id="rId19" Type="http://schemas.openxmlformats.org/officeDocument/2006/relationships/calcChain" Target="calcChain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5.xml"/><Relationship Id="rId14" Type="http://schemas.openxmlformats.org/officeDocument/2006/relationships/worksheet" Target="worksheets/sheet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příjmů města Ostrov v roce 2005 ve SR</a:t>
            </a:r>
          </a:p>
        </c:rich>
      </c:tx>
      <c:layout>
        <c:manualLayout>
          <c:xMode val="edge"/>
          <c:yMode val="edge"/>
          <c:x val="0.3052083573060678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010033444816029"/>
          <c:y val="0.29715061058344688"/>
          <c:w val="0.39214046822742665"/>
          <c:h val="0.2523744911804637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50D-4740-AA31-B65AC3E871E5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850D-4740-AA31-B65AC3E871E5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850D-4740-AA31-B65AC3E871E5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850D-4740-AA31-B65AC3E871E5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850D-4740-AA31-B65AC3E871E5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850D-4740-AA31-B65AC3E871E5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850D-4740-AA31-B65AC3E871E5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850D-4740-AA31-B65AC3E871E5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850D-4740-AA31-B65AC3E871E5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850D-4740-AA31-B65AC3E871E5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850D-4740-AA31-B65AC3E871E5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850D-4740-AA31-B65AC3E871E5}"/>
              </c:ext>
            </c:extLst>
          </c:dPt>
          <c:dLbls>
            <c:dLbl>
              <c:idx val="0"/>
              <c:layout>
                <c:manualLayout>
                  <c:x val="-3.6778324584427056E-2"/>
                  <c:y val="-3.417181438178817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850D-4740-AA31-B65AC3E871E5}"/>
                </c:ext>
              </c:extLst>
            </c:dLbl>
            <c:dLbl>
              <c:idx val="1"/>
              <c:layout>
                <c:manualLayout>
                  <c:x val="-1.9792213473315879E-2"/>
                  <c:y val="-0.1379877515310587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50D-4740-AA31-B65AC3E871E5}"/>
                </c:ext>
              </c:extLst>
            </c:dLbl>
            <c:dLbl>
              <c:idx val="2"/>
              <c:layout>
                <c:manualLayout>
                  <c:x val="-1.7299103237095395E-2"/>
                  <c:y val="-4.371165725496443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50D-4740-AA31-B65AC3E871E5}"/>
                </c:ext>
              </c:extLst>
            </c:dLbl>
            <c:dLbl>
              <c:idx val="3"/>
              <c:layout>
                <c:manualLayout>
                  <c:x val="-5.1324365704286772E-3"/>
                  <c:y val="-0.1520169322269068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50D-4740-AA31-B65AC3E871E5}"/>
                </c:ext>
              </c:extLst>
            </c:dLbl>
            <c:dLbl>
              <c:idx val="4"/>
              <c:layout>
                <c:manualLayout>
                  <c:x val="1.7784230096238043E-2"/>
                  <c:y val="-0.1666072801505872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50D-4740-AA31-B65AC3E871E5}"/>
                </c:ext>
              </c:extLst>
            </c:dLbl>
            <c:dLbl>
              <c:idx val="5"/>
              <c:layout>
                <c:manualLayout>
                  <c:x val="3.4812007874015852E-2"/>
                  <c:y val="-9.3094373304347777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50D-4740-AA31-B65AC3E871E5}"/>
                </c:ext>
              </c:extLst>
            </c:dLbl>
            <c:dLbl>
              <c:idx val="6"/>
              <c:layout>
                <c:manualLayout>
                  <c:x val="7.7062007874016111E-2"/>
                  <c:y val="-6.7841848051821793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50D-4740-AA31-B65AC3E871E5}"/>
                </c:ext>
              </c:extLst>
            </c:dLbl>
            <c:dLbl>
              <c:idx val="7"/>
              <c:layout>
                <c:manualLayout>
                  <c:x val="2.6832786526684315E-2"/>
                  <c:y val="-0.2277745079844816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50D-4740-AA31-B65AC3E871E5}"/>
                </c:ext>
              </c:extLst>
            </c:dLbl>
            <c:dLbl>
              <c:idx val="8"/>
              <c:layout>
                <c:manualLayout>
                  <c:x val="8.6592300962380284E-3"/>
                  <c:y val="-0.1301314103413840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850D-4740-AA31-B65AC3E871E5}"/>
                </c:ext>
              </c:extLst>
            </c:dLbl>
            <c:dLbl>
              <c:idx val="9"/>
              <c:layout>
                <c:manualLayout>
                  <c:x val="2.4855643044620315E-3"/>
                  <c:y val="-9.141087162084531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850D-4740-AA31-B65AC3E871E5}"/>
                </c:ext>
              </c:extLst>
            </c:dLbl>
            <c:dLbl>
              <c:idx val="10"/>
              <c:layout>
                <c:manualLayout>
                  <c:x val="-6.2554680664915594E-4"/>
                  <c:y val="-0.1520169322269068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850D-4740-AA31-B65AC3E871E5}"/>
                </c:ext>
              </c:extLst>
            </c:dLbl>
            <c:dLbl>
              <c:idx val="1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850D-4740-AA31-B65AC3E871E5}"/>
                </c:ext>
              </c:extLst>
            </c:dLbl>
            <c:dLbl>
              <c:idx val="12"/>
              <c:layout>
                <c:manualLayout>
                  <c:x val="2.3048118985126896E-2"/>
                  <c:y val="-0.1469664271764022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850D-4740-AA31-B65AC3E871E5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'Příjmy 2005'!$B$4:$B$16</c:f>
              <c:strCache>
                <c:ptCount val="13"/>
                <c:pt idx="0">
                  <c:v>Daně z příjmů fyzických osob</c:v>
                </c:pt>
                <c:pt idx="1">
                  <c:v>Daň z příjmů právnických osob placená obcí</c:v>
                </c:pt>
                <c:pt idx="2">
                  <c:v>Daně z příjmů právnických osob</c:v>
                </c:pt>
                <c:pt idx="3">
                  <c:v>Daň z přidané hodnoty</c:v>
                </c:pt>
                <c:pt idx="4">
                  <c:v>Dań z nemovitosti a doplatky daní</c:v>
                </c:pt>
                <c:pt idx="5">
                  <c:v>Poplatky </c:v>
                </c:pt>
                <c:pt idx="6">
                  <c:v>Splátky půjček</c:v>
                </c:pt>
                <c:pt idx="7">
                  <c:v>Přijaté dotace</c:v>
                </c:pt>
                <c:pt idx="8">
                  <c:v>Financování</c:v>
                </c:pt>
                <c:pt idx="9">
                  <c:v>Nedaňové příjmy</c:v>
                </c:pt>
                <c:pt idx="10">
                  <c:v>Bytové hospodářství</c:v>
                </c:pt>
                <c:pt idx="11">
                  <c:v>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2005'!$C$4:$C$16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850D-4740-AA31-B65AC3E871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7.6086956521739121E-2"/>
          <c:y val="0.81139755766621469"/>
          <c:w val="0.85117056856187523"/>
          <c:h val="0.1818181818181827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Provnání příjmů města Ostrov ve SR a UR pro rok 2005 </a:t>
            </a:r>
          </a:p>
        </c:rich>
      </c:tx>
      <c:layout>
        <c:manualLayout>
          <c:xMode val="edge"/>
          <c:yMode val="edge"/>
          <c:x val="0.2812499794519423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854816824966078"/>
          <c:w val="0.82692307692308098"/>
          <c:h val="0.59972862957937823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'Příjmy 2005'!$J$3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2005'!$J$4:$J$16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BB-4468-8727-A59AC23ACA87}"/>
            </c:ext>
          </c:extLst>
        </c:ser>
        <c:ser>
          <c:idx val="1"/>
          <c:order val="1"/>
          <c:tx>
            <c:strRef>
              <c:f>'Příjmy 2005'!$K$3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2005'!$K$4:$K$16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5BB-4468-8727-A59AC23ACA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50946944"/>
        <c:axId val="550947336"/>
        <c:axId val="550828192"/>
      </c:bar3DChart>
      <c:catAx>
        <c:axId val="55094694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50947336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5509473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50946944"/>
        <c:crosses val="autoZero"/>
        <c:crossBetween val="between"/>
      </c:valAx>
      <c:serAx>
        <c:axId val="55082819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50947336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výdajů města Ostrov ve SR pro rok 2005</a:t>
            </a:r>
          </a:p>
        </c:rich>
      </c:tx>
      <c:layout>
        <c:manualLayout>
          <c:xMode val="edge"/>
          <c:yMode val="edge"/>
          <c:x val="0.3000000000000003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003344481605323"/>
          <c:y val="0.30529172320217096"/>
          <c:w val="0.44565217391304474"/>
          <c:h val="0.28765264586160216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EAD-455B-8B98-6054AF6B7E42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EAD-455B-8B98-6054AF6B7E42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FEAD-455B-8B98-6054AF6B7E42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FEAD-455B-8B98-6054AF6B7E42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FEAD-455B-8B98-6054AF6B7E42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FEAD-455B-8B98-6054AF6B7E42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FEAD-455B-8B98-6054AF6B7E42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FEAD-455B-8B98-6054AF6B7E42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FEAD-455B-8B98-6054AF6B7E42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FEAD-455B-8B98-6054AF6B7E42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FEAD-455B-8B98-6054AF6B7E42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FEAD-455B-8B98-6054AF6B7E42}"/>
              </c:ext>
            </c:extLst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FEAD-455B-8B98-6054AF6B7E42}"/>
              </c:ext>
            </c:extLst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FEAD-455B-8B98-6054AF6B7E42}"/>
              </c:ext>
            </c:extLst>
          </c:dPt>
          <c:dLbls>
            <c:dLbl>
              <c:idx val="0"/>
              <c:layout>
                <c:manualLayout>
                  <c:x val="6.4022309711285934E-3"/>
                  <c:y val="-0.166131834530784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FEAD-455B-8B98-6054AF6B7E42}"/>
                </c:ext>
              </c:extLst>
            </c:dLbl>
            <c:dLbl>
              <c:idx val="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EAD-455B-8B98-6054AF6B7E42}"/>
                </c:ext>
              </c:extLst>
            </c:dLbl>
            <c:dLbl>
              <c:idx val="2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EAD-455B-8B98-6054AF6B7E42}"/>
                </c:ext>
              </c:extLst>
            </c:dLbl>
            <c:dLbl>
              <c:idx val="3"/>
              <c:layout>
                <c:manualLayout>
                  <c:x val="-3.1062992125984252E-2"/>
                  <c:y val="-0.1998018682008176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EAD-455B-8B98-6054AF6B7E42}"/>
                </c:ext>
              </c:extLst>
            </c:dLbl>
            <c:dLbl>
              <c:idx val="4"/>
              <c:layout>
                <c:manualLayout>
                  <c:x val="-3.7431102362204989E-2"/>
                  <c:y val="-0.1257277941267442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EAD-455B-8B98-6054AF6B7E42}"/>
                </c:ext>
              </c:extLst>
            </c:dLbl>
            <c:dLbl>
              <c:idx val="5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EAD-455B-8B98-6054AF6B7E42}"/>
                </c:ext>
              </c:extLst>
            </c:dLbl>
            <c:dLbl>
              <c:idx val="6"/>
              <c:layout>
                <c:manualLayout>
                  <c:x val="-0.13552832458442768"/>
                  <c:y val="5.609038769143755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EAD-455B-8B98-6054AF6B7E42}"/>
                </c:ext>
              </c:extLst>
            </c:dLbl>
            <c:dLbl>
              <c:idx val="7"/>
              <c:layout>
                <c:manualLayout>
                  <c:x val="-1.6097769028871375E-2"/>
                  <c:y val="-5.838772678667691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EAD-455B-8B98-6054AF6B7E42}"/>
                </c:ext>
              </c:extLst>
            </c:dLbl>
            <c:dLbl>
              <c:idx val="8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FEAD-455B-8B98-6054AF6B7E42}"/>
                </c:ext>
              </c:extLst>
            </c:dLbl>
            <c:dLbl>
              <c:idx val="9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FEAD-455B-8B98-6054AF6B7E42}"/>
                </c:ext>
              </c:extLst>
            </c:dLbl>
            <c:dLbl>
              <c:idx val="10"/>
              <c:layout>
                <c:manualLayout>
                  <c:x val="3.2166119860017509E-2"/>
                  <c:y val="-0.1206772890762398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FEAD-455B-8B98-6054AF6B7E42}"/>
                </c:ext>
              </c:extLst>
            </c:dLbl>
            <c:dLbl>
              <c:idx val="11"/>
              <c:layout>
                <c:manualLayout>
                  <c:x val="1.0950896762904659E-2"/>
                  <c:y val="-0.1167491184814021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FEAD-455B-8B98-6054AF6B7E42}"/>
                </c:ext>
              </c:extLst>
            </c:dLbl>
            <c:dLbl>
              <c:idx val="12"/>
              <c:layout>
                <c:manualLayout>
                  <c:x val="3.0541119860017611E-2"/>
                  <c:y val="-0.2452564136553646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FEAD-455B-8B98-6054AF6B7E42}"/>
                </c:ext>
              </c:extLst>
            </c:dLbl>
            <c:dLbl>
              <c:idx val="13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FEAD-455B-8B98-6054AF6B7E42}"/>
                </c:ext>
              </c:extLst>
            </c:dLbl>
            <c:dLbl>
              <c:idx val="14"/>
              <c:layout>
                <c:manualLayout>
                  <c:x val="-0.13835465879265088"/>
                  <c:y val="-0.21495338335233505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FEAD-455B-8B98-6054AF6B7E42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FEAD-455B-8B98-6054AF6B7E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086956521739137E-2"/>
          <c:y val="0.84938941655360156"/>
          <c:w val="0.97240802675585269"/>
          <c:h val="0.147896879240162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Porovnání výdajů města Ostrov ve SR a UR pro rok 2005</a:t>
            </a:r>
          </a:p>
        </c:rich>
      </c:tx>
      <c:layout>
        <c:manualLayout>
          <c:xMode val="edge"/>
          <c:yMode val="edge"/>
          <c:x val="0.2739583230593056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990502035278187"/>
          <c:w val="0.82608695652173902"/>
          <c:h val="0.57123473541383984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'Výdaje 2005'!$C$4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65-4286-8614-8D81AE4E1448}"/>
            </c:ext>
          </c:extLst>
        </c:ser>
        <c:ser>
          <c:idx val="1"/>
          <c:order val="1"/>
          <c:tx>
            <c:strRef>
              <c:f>'Výdaje 2005'!$D$4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2005'!$D$5:$D$19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F65-4286-8614-8D81AE4E14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28960744"/>
        <c:axId val="728960352"/>
        <c:axId val="550821408"/>
      </c:bar3DChart>
      <c:catAx>
        <c:axId val="72896074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728960352"/>
        <c:crosses val="autoZero"/>
        <c:auto val="1"/>
        <c:lblAlgn val="ctr"/>
        <c:lblOffset val="100"/>
        <c:tickLblSkip val="2"/>
        <c:tickMarkSkip val="1"/>
        <c:noMultiLvlLbl val="1"/>
      </c:catAx>
      <c:valAx>
        <c:axId val="7289603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728960744"/>
        <c:crosses val="autoZero"/>
        <c:crossBetween val="between"/>
      </c:valAx>
      <c:serAx>
        <c:axId val="55082140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728960352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400-000000000000}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horizontalDpi="300" verticalDpi="300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500-000000000000}">
  <sheetPr/>
  <sheetViews>
    <sheetView zoomScale="102" workbookViewId="0"/>
  </sheetViews>
  <pageMargins left="0.78740157499999996" right="0.78740157499999996" top="0.984251969" bottom="0.984251969" header="0.4921259845" footer="0.492125984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ESTO\ROZPOCET\2002\Prubpln\mesto\Prubpl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pis 2002"/>
      <sheetName val="Příjmy-odbory"/>
      <sheetName val="Výdaje-odbory"/>
      <sheetName val="Rozpočet 2002"/>
      <sheetName val="FRB 2002"/>
      <sheetName val="PRP 2002"/>
      <sheetName val="ÚZ 5 2002"/>
      <sheetName val="RO z FRR"/>
      <sheetName val="RO z FRB"/>
      <sheetName val="Legenda"/>
      <sheetName val="Daně 2002"/>
      <sheetName val="Daně 2002 (2)"/>
      <sheetName val="FRB 2001-RO"/>
      <sheetName val="PRP 2001-RO"/>
      <sheetName val="Rozpočet-hosp(4)"/>
      <sheetName val="FRB 2001_RO"/>
      <sheetName val="PRP 2001_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1">
          <cell r="H21">
            <v>18163</v>
          </cell>
        </row>
        <row r="58">
          <cell r="H58">
            <v>50498</v>
          </cell>
        </row>
      </sheetData>
      <sheetData sheetId="13">
        <row r="15">
          <cell r="H15">
            <v>903</v>
          </cell>
        </row>
        <row r="49">
          <cell r="H49">
            <v>38279</v>
          </cell>
        </row>
      </sheetData>
      <sheetData sheetId="14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2"/>
  <sheetViews>
    <sheetView tabSelected="1" workbookViewId="0">
      <selection activeCell="C3" sqref="C3:G3"/>
    </sheetView>
  </sheetViews>
  <sheetFormatPr defaultRowHeight="12.75" x14ac:dyDescent="0.2"/>
  <cols>
    <col min="1" max="1" width="3.85546875" customWidth="1"/>
    <col min="2" max="2" width="8" customWidth="1"/>
    <col min="3" max="3" width="7.140625" customWidth="1"/>
    <col min="4" max="4" width="14" customWidth="1"/>
    <col min="5" max="5" width="6.140625" customWidth="1"/>
    <col min="6" max="8" width="16.7109375" customWidth="1"/>
    <col min="9" max="9" width="20.7109375" customWidth="1"/>
    <col min="10" max="10" width="16.28515625" customWidth="1"/>
  </cols>
  <sheetData>
    <row r="1" spans="1:10" ht="18" x14ac:dyDescent="0.25">
      <c r="A1" s="808" t="s">
        <v>535</v>
      </c>
      <c r="B1" s="808"/>
      <c r="C1" s="808"/>
      <c r="D1" s="808"/>
      <c r="E1" s="808"/>
      <c r="F1" s="808"/>
      <c r="G1" s="808"/>
      <c r="H1" s="808"/>
      <c r="I1" s="808"/>
      <c r="J1" s="808"/>
    </row>
    <row r="2" spans="1:10" ht="14.25" x14ac:dyDescent="0.2">
      <c r="B2" s="679"/>
    </row>
    <row r="3" spans="1:10" ht="22.15" customHeight="1" x14ac:dyDescent="0.25">
      <c r="A3" s="812" t="s">
        <v>505</v>
      </c>
      <c r="B3" s="813"/>
      <c r="C3" s="815" t="s">
        <v>529</v>
      </c>
      <c r="D3" s="815"/>
      <c r="E3" s="815"/>
      <c r="F3" s="815"/>
      <c r="G3" s="815"/>
    </row>
    <row r="4" spans="1:10" ht="24.6" customHeight="1" x14ac:dyDescent="0.25">
      <c r="A4" s="814" t="s">
        <v>506</v>
      </c>
      <c r="B4" s="804"/>
      <c r="C4" s="815" t="s">
        <v>527</v>
      </c>
      <c r="D4" s="815"/>
      <c r="E4" s="815"/>
      <c r="F4" s="815"/>
      <c r="G4" s="771"/>
    </row>
    <row r="5" spans="1:10" ht="24.6" customHeight="1" thickBot="1" x14ac:dyDescent="0.3">
      <c r="A5" s="788"/>
      <c r="B5" s="787"/>
      <c r="C5" s="789"/>
      <c r="D5" s="789"/>
      <c r="E5" s="789"/>
      <c r="F5" s="789"/>
      <c r="G5" s="771"/>
    </row>
    <row r="6" spans="1:10" ht="36.6" customHeight="1" thickBot="1" x14ac:dyDescent="0.25">
      <c r="B6" s="679"/>
      <c r="G6" s="805" t="s">
        <v>513</v>
      </c>
      <c r="H6" s="806"/>
      <c r="I6" s="806"/>
      <c r="J6" s="807"/>
    </row>
    <row r="7" spans="1:10" ht="46.9" customHeight="1" thickBot="1" x14ac:dyDescent="0.25">
      <c r="A7" s="759" t="s">
        <v>507</v>
      </c>
      <c r="B7" s="761" t="s">
        <v>508</v>
      </c>
      <c r="C7" s="761" t="s">
        <v>511</v>
      </c>
      <c r="D7" s="762" t="s">
        <v>284</v>
      </c>
      <c r="E7" s="760" t="s">
        <v>509</v>
      </c>
      <c r="F7" s="760" t="s">
        <v>510</v>
      </c>
      <c r="G7" s="766" t="s">
        <v>519</v>
      </c>
      <c r="H7" s="766" t="s">
        <v>520</v>
      </c>
      <c r="I7" s="766" t="s">
        <v>514</v>
      </c>
      <c r="J7" s="759" t="s">
        <v>512</v>
      </c>
    </row>
    <row r="8" spans="1:10" ht="19.899999999999999" customHeight="1" x14ac:dyDescent="0.2">
      <c r="A8" s="822" t="s">
        <v>521</v>
      </c>
      <c r="B8" s="823"/>
      <c r="C8" s="823"/>
      <c r="D8" s="823"/>
      <c r="E8" s="823"/>
      <c r="F8" s="823"/>
      <c r="G8" s="823"/>
      <c r="H8" s="823"/>
      <c r="I8" s="823"/>
      <c r="J8" s="824"/>
    </row>
    <row r="9" spans="1:10" ht="19.899999999999999" customHeight="1" x14ac:dyDescent="0.2">
      <c r="A9" s="767" t="s">
        <v>7</v>
      </c>
      <c r="B9" s="790"/>
      <c r="C9" s="790">
        <v>4122</v>
      </c>
      <c r="D9" s="790">
        <v>5062</v>
      </c>
      <c r="E9" s="791">
        <v>6</v>
      </c>
      <c r="F9" s="792">
        <v>160149</v>
      </c>
      <c r="G9" s="793">
        <v>0</v>
      </c>
      <c r="H9" s="793">
        <v>0</v>
      </c>
      <c r="I9" s="793">
        <v>50000</v>
      </c>
      <c r="J9" s="794">
        <f>H9+I9</f>
        <v>50000</v>
      </c>
    </row>
    <row r="10" spans="1:10" ht="30" customHeight="1" thickBot="1" x14ac:dyDescent="0.25">
      <c r="A10" s="816" t="s">
        <v>518</v>
      </c>
      <c r="B10" s="817"/>
      <c r="C10" s="818"/>
      <c r="D10" s="819" t="s">
        <v>531</v>
      </c>
      <c r="E10" s="820"/>
      <c r="F10" s="820"/>
      <c r="G10" s="820"/>
      <c r="H10" s="820"/>
      <c r="I10" s="820"/>
      <c r="J10" s="821"/>
    </row>
    <row r="11" spans="1:10" ht="19.899999999999999" hidden="1" customHeight="1" x14ac:dyDescent="0.2">
      <c r="A11" s="767" t="s">
        <v>227</v>
      </c>
      <c r="B11" s="768"/>
      <c r="C11" s="774"/>
      <c r="D11" s="769"/>
      <c r="E11" s="773"/>
      <c r="F11" s="772"/>
      <c r="G11" s="756"/>
      <c r="H11" s="756"/>
      <c r="I11" s="756"/>
      <c r="J11" s="770">
        <f>H11+I11</f>
        <v>0</v>
      </c>
    </row>
    <row r="12" spans="1:10" ht="19.899999999999999" hidden="1" customHeight="1" thickBot="1" x14ac:dyDescent="0.25">
      <c r="A12" s="829" t="s">
        <v>518</v>
      </c>
      <c r="B12" s="830"/>
      <c r="C12" s="831"/>
      <c r="D12" s="809"/>
      <c r="E12" s="810"/>
      <c r="F12" s="810"/>
      <c r="G12" s="810"/>
      <c r="H12" s="810"/>
      <c r="I12" s="810"/>
      <c r="J12" s="811"/>
    </row>
    <row r="13" spans="1:10" ht="19.899999999999999" customHeight="1" thickBot="1" x14ac:dyDescent="0.25">
      <c r="A13" s="754"/>
      <c r="B13" s="783"/>
      <c r="C13" s="783"/>
      <c r="D13" s="797"/>
      <c r="E13" s="784"/>
      <c r="F13" s="784"/>
      <c r="G13" s="784"/>
      <c r="H13" s="784"/>
      <c r="I13" s="795">
        <f>SUM(I9:I10)</f>
        <v>50000</v>
      </c>
      <c r="J13" s="784"/>
    </row>
    <row r="14" spans="1:10" ht="19.899999999999999" customHeight="1" thickBot="1" x14ac:dyDescent="0.25">
      <c r="A14" s="752"/>
      <c r="B14" s="785"/>
      <c r="C14" s="785"/>
      <c r="D14" s="796"/>
      <c r="E14" s="786"/>
      <c r="F14" s="786"/>
      <c r="G14" s="786"/>
      <c r="H14" s="786"/>
      <c r="I14" s="786"/>
      <c r="J14" s="786"/>
    </row>
    <row r="15" spans="1:10" ht="19.899999999999999" customHeight="1" x14ac:dyDescent="0.25">
      <c r="A15" s="825" t="s">
        <v>522</v>
      </c>
      <c r="B15" s="826"/>
      <c r="C15" s="826"/>
      <c r="D15" s="826"/>
      <c r="E15" s="826"/>
      <c r="F15" s="826"/>
      <c r="G15" s="826"/>
      <c r="H15" s="826"/>
      <c r="I15" s="826"/>
      <c r="J15" s="827"/>
    </row>
    <row r="16" spans="1:10" ht="19.899999999999999" customHeight="1" x14ac:dyDescent="0.2">
      <c r="A16" s="751" t="s">
        <v>7</v>
      </c>
      <c r="B16" s="798">
        <v>3392</v>
      </c>
      <c r="C16" s="790">
        <v>5336</v>
      </c>
      <c r="D16" s="790">
        <v>5062</v>
      </c>
      <c r="E16" s="799">
        <v>6</v>
      </c>
      <c r="F16" s="792">
        <v>160149</v>
      </c>
      <c r="G16" s="800">
        <v>0</v>
      </c>
      <c r="H16" s="800">
        <v>0</v>
      </c>
      <c r="I16" s="793">
        <v>50000</v>
      </c>
      <c r="J16" s="801">
        <f>H16+I16</f>
        <v>50000</v>
      </c>
    </row>
    <row r="17" spans="1:10" ht="28.9" customHeight="1" thickBot="1" x14ac:dyDescent="0.25">
      <c r="A17" s="816" t="s">
        <v>518</v>
      </c>
      <c r="B17" s="817"/>
      <c r="C17" s="818"/>
      <c r="D17" s="819" t="s">
        <v>532</v>
      </c>
      <c r="E17" s="820"/>
      <c r="F17" s="820"/>
      <c r="G17" s="820"/>
      <c r="H17" s="820"/>
      <c r="I17" s="820"/>
      <c r="J17" s="821"/>
    </row>
    <row r="18" spans="1:10" ht="19.899999999999999" hidden="1" customHeight="1" x14ac:dyDescent="0.2">
      <c r="A18" s="751" t="s">
        <v>227</v>
      </c>
      <c r="B18" s="775"/>
      <c r="C18" s="775"/>
      <c r="D18" s="748"/>
      <c r="E18" s="776"/>
      <c r="F18" s="778"/>
      <c r="G18" s="777"/>
      <c r="H18" s="777"/>
      <c r="I18" s="777"/>
      <c r="J18" s="758">
        <f>H18+I18</f>
        <v>0</v>
      </c>
    </row>
    <row r="19" spans="1:10" ht="19.899999999999999" hidden="1" customHeight="1" x14ac:dyDescent="0.2">
      <c r="A19" s="816" t="s">
        <v>518</v>
      </c>
      <c r="B19" s="817"/>
      <c r="C19" s="818"/>
      <c r="D19" s="832"/>
      <c r="E19" s="833"/>
      <c r="F19" s="833"/>
      <c r="G19" s="833"/>
      <c r="H19" s="833"/>
      <c r="I19" s="833"/>
      <c r="J19" s="834"/>
    </row>
    <row r="20" spans="1:10" ht="19.899999999999999" hidden="1" customHeight="1" x14ac:dyDescent="0.2">
      <c r="A20" s="751" t="s">
        <v>523</v>
      </c>
      <c r="B20" s="775"/>
      <c r="C20" s="775"/>
      <c r="D20" s="748"/>
      <c r="E20" s="776"/>
      <c r="F20" s="747"/>
      <c r="G20" s="757"/>
      <c r="H20" s="757"/>
      <c r="I20" s="777"/>
      <c r="J20" s="758">
        <f>H20+I20</f>
        <v>0</v>
      </c>
    </row>
    <row r="21" spans="1:10" ht="19.899999999999999" hidden="1" customHeight="1" x14ac:dyDescent="0.2">
      <c r="A21" s="816" t="s">
        <v>518</v>
      </c>
      <c r="B21" s="817"/>
      <c r="C21" s="818"/>
      <c r="D21" s="832"/>
      <c r="E21" s="833"/>
      <c r="F21" s="833"/>
      <c r="G21" s="833"/>
      <c r="H21" s="833"/>
      <c r="I21" s="833"/>
      <c r="J21" s="834"/>
    </row>
    <row r="22" spans="1:10" ht="19.899999999999999" hidden="1" customHeight="1" x14ac:dyDescent="0.2">
      <c r="A22" s="751" t="s">
        <v>159</v>
      </c>
      <c r="B22" s="750"/>
      <c r="C22" s="749"/>
      <c r="D22" s="748"/>
      <c r="E22" s="747"/>
      <c r="F22" s="747"/>
      <c r="G22" s="757"/>
      <c r="H22" s="757"/>
      <c r="I22" s="757"/>
      <c r="J22" s="758">
        <f>H22+I22</f>
        <v>0</v>
      </c>
    </row>
    <row r="23" spans="1:10" ht="19.899999999999999" hidden="1" customHeight="1" thickBot="1" x14ac:dyDescent="0.25">
      <c r="A23" s="829" t="s">
        <v>518</v>
      </c>
      <c r="B23" s="830"/>
      <c r="C23" s="831"/>
      <c r="D23" s="809"/>
      <c r="E23" s="810"/>
      <c r="F23" s="810"/>
      <c r="G23" s="810"/>
      <c r="H23" s="810"/>
      <c r="I23" s="810"/>
      <c r="J23" s="811"/>
    </row>
    <row r="24" spans="1:10" ht="19.899999999999999" customHeight="1" thickBot="1" x14ac:dyDescent="0.3">
      <c r="A24" s="754"/>
      <c r="B24" s="755"/>
      <c r="C24" s="755"/>
      <c r="D24" s="755"/>
      <c r="E24" s="755"/>
      <c r="F24" s="755"/>
      <c r="G24" s="779"/>
      <c r="H24" s="780"/>
      <c r="I24" s="795">
        <f>SUM(I16:I17)</f>
        <v>50000</v>
      </c>
      <c r="J24" s="781"/>
    </row>
    <row r="25" spans="1:10" ht="19.899999999999999" customHeight="1" x14ac:dyDescent="0.25">
      <c r="A25" s="752"/>
      <c r="B25" s="753"/>
      <c r="C25" s="753"/>
      <c r="D25" s="753"/>
      <c r="E25" s="753"/>
      <c r="F25" s="753"/>
      <c r="G25" s="763"/>
      <c r="H25" s="763"/>
      <c r="I25" s="763"/>
      <c r="J25" s="763"/>
    </row>
    <row r="26" spans="1:10" ht="15.75" x14ac:dyDescent="0.25">
      <c r="A26" s="803" t="s">
        <v>526</v>
      </c>
      <c r="B26" s="803"/>
      <c r="C26" s="803"/>
      <c r="D26" s="804"/>
      <c r="E26" s="804"/>
      <c r="F26" s="804"/>
      <c r="G26" s="764"/>
      <c r="H26" s="764"/>
      <c r="I26" s="764"/>
      <c r="J26" s="764"/>
    </row>
    <row r="27" spans="1:10" x14ac:dyDescent="0.2">
      <c r="A27" s="828" t="s">
        <v>533</v>
      </c>
      <c r="B27" s="828"/>
      <c r="C27" s="828"/>
      <c r="D27" s="828"/>
      <c r="E27" s="828"/>
      <c r="F27" s="828"/>
      <c r="G27" s="828"/>
      <c r="H27" s="828"/>
      <c r="I27" s="828"/>
      <c r="J27" s="828"/>
    </row>
    <row r="28" spans="1:10" x14ac:dyDescent="0.2">
      <c r="A28" s="828"/>
      <c r="B28" s="828"/>
      <c r="C28" s="828"/>
      <c r="D28" s="828"/>
      <c r="E28" s="828"/>
      <c r="F28" s="828"/>
      <c r="G28" s="828"/>
      <c r="H28" s="828"/>
      <c r="I28" s="828"/>
      <c r="J28" s="828"/>
    </row>
    <row r="29" spans="1:10" x14ac:dyDescent="0.2">
      <c r="A29" s="828"/>
      <c r="B29" s="828"/>
      <c r="C29" s="828"/>
      <c r="D29" s="828"/>
      <c r="E29" s="828"/>
      <c r="F29" s="828"/>
      <c r="G29" s="828"/>
      <c r="H29" s="828"/>
      <c r="I29" s="828"/>
      <c r="J29" s="828"/>
    </row>
    <row r="30" spans="1:10" x14ac:dyDescent="0.2">
      <c r="A30" s="828"/>
      <c r="B30" s="828"/>
      <c r="C30" s="828"/>
      <c r="D30" s="828"/>
      <c r="E30" s="828"/>
      <c r="F30" s="828"/>
      <c r="G30" s="828"/>
      <c r="H30" s="828"/>
      <c r="I30" s="828"/>
      <c r="J30" s="828"/>
    </row>
    <row r="31" spans="1:10" x14ac:dyDescent="0.2">
      <c r="A31" s="828"/>
      <c r="B31" s="828"/>
      <c r="C31" s="828"/>
      <c r="D31" s="828"/>
      <c r="E31" s="828"/>
      <c r="F31" s="828"/>
      <c r="G31" s="828"/>
      <c r="H31" s="828"/>
      <c r="I31" s="828"/>
      <c r="J31" s="828"/>
    </row>
    <row r="32" spans="1:10" ht="13.15" hidden="1" customHeight="1" x14ac:dyDescent="0.2">
      <c r="A32" s="828"/>
      <c r="B32" s="828"/>
      <c r="C32" s="828"/>
      <c r="D32" s="828"/>
      <c r="E32" s="828"/>
      <c r="F32" s="828"/>
      <c r="G32" s="828"/>
      <c r="H32" s="828"/>
      <c r="I32" s="828"/>
      <c r="J32" s="828"/>
    </row>
    <row r="33" spans="1:10" ht="13.15" hidden="1" customHeight="1" x14ac:dyDescent="0.2">
      <c r="A33" s="828"/>
      <c r="B33" s="828"/>
      <c r="C33" s="828"/>
      <c r="D33" s="828"/>
      <c r="E33" s="828"/>
      <c r="F33" s="828"/>
      <c r="G33" s="828"/>
      <c r="H33" s="828"/>
      <c r="I33" s="828"/>
      <c r="J33" s="828"/>
    </row>
    <row r="34" spans="1:10" ht="13.15" hidden="1" customHeight="1" x14ac:dyDescent="0.2">
      <c r="A34" s="828"/>
      <c r="B34" s="828"/>
      <c r="C34" s="828"/>
      <c r="D34" s="828"/>
      <c r="E34" s="828"/>
      <c r="F34" s="828"/>
      <c r="G34" s="828"/>
      <c r="H34" s="828"/>
      <c r="I34" s="828"/>
      <c r="J34" s="828"/>
    </row>
    <row r="35" spans="1:10" ht="13.15" hidden="1" customHeight="1" x14ac:dyDescent="0.2">
      <c r="A35" s="828"/>
      <c r="B35" s="828"/>
      <c r="C35" s="828"/>
      <c r="D35" s="828"/>
      <c r="E35" s="828"/>
      <c r="F35" s="828"/>
      <c r="G35" s="828"/>
      <c r="H35" s="828"/>
      <c r="I35" s="828"/>
      <c r="J35" s="828"/>
    </row>
    <row r="36" spans="1:10" ht="25.9" hidden="1" customHeight="1" x14ac:dyDescent="0.2">
      <c r="A36" s="828"/>
      <c r="B36" s="828"/>
      <c r="C36" s="828"/>
      <c r="D36" s="828"/>
      <c r="E36" s="828"/>
      <c r="F36" s="828"/>
      <c r="G36" s="828"/>
      <c r="H36" s="828"/>
      <c r="I36" s="828"/>
      <c r="J36" s="828"/>
    </row>
    <row r="37" spans="1:10" ht="13.15" hidden="1" customHeight="1" x14ac:dyDescent="0.2">
      <c r="A37" s="828"/>
      <c r="B37" s="828"/>
      <c r="C37" s="828"/>
      <c r="D37" s="828"/>
      <c r="E37" s="828"/>
      <c r="F37" s="828"/>
      <c r="G37" s="828"/>
      <c r="H37" s="828"/>
      <c r="I37" s="828"/>
      <c r="J37" s="828"/>
    </row>
    <row r="38" spans="1:10" ht="0.75" customHeight="1" x14ac:dyDescent="0.2">
      <c r="A38" s="828"/>
      <c r="B38" s="828"/>
      <c r="C38" s="828"/>
      <c r="D38" s="828"/>
      <c r="E38" s="828"/>
      <c r="F38" s="828"/>
      <c r="G38" s="828"/>
      <c r="H38" s="828"/>
      <c r="I38" s="828"/>
      <c r="J38" s="828"/>
    </row>
    <row r="39" spans="1:10" ht="13.15" hidden="1" customHeight="1" x14ac:dyDescent="0.2">
      <c r="A39" s="828"/>
      <c r="B39" s="828"/>
      <c r="C39" s="828"/>
      <c r="D39" s="828"/>
      <c r="E39" s="828"/>
      <c r="F39" s="828"/>
      <c r="G39" s="828"/>
      <c r="H39" s="828"/>
      <c r="I39" s="828"/>
      <c r="J39" s="828"/>
    </row>
    <row r="40" spans="1:10" ht="13.15" hidden="1" customHeight="1" x14ac:dyDescent="0.2">
      <c r="A40" s="828"/>
      <c r="B40" s="828"/>
      <c r="C40" s="828"/>
      <c r="D40" s="828"/>
      <c r="E40" s="828"/>
      <c r="F40" s="828"/>
      <c r="G40" s="828"/>
      <c r="H40" s="828"/>
      <c r="I40" s="828"/>
      <c r="J40" s="828"/>
    </row>
    <row r="41" spans="1:10" ht="15" x14ac:dyDescent="0.2">
      <c r="A41" s="764"/>
      <c r="B41" s="764"/>
      <c r="C41" s="764"/>
      <c r="D41" s="764"/>
      <c r="E41" s="764"/>
      <c r="F41" s="764"/>
      <c r="G41" s="764"/>
      <c r="H41" s="764"/>
      <c r="I41" s="764"/>
      <c r="J41" s="764"/>
    </row>
    <row r="42" spans="1:10" ht="15.75" x14ac:dyDescent="0.25">
      <c r="A42" s="803" t="s">
        <v>515</v>
      </c>
      <c r="B42" s="803"/>
      <c r="C42" s="803"/>
      <c r="D42" s="782">
        <v>44524</v>
      </c>
      <c r="E42" s="764"/>
      <c r="F42" s="764"/>
      <c r="G42" s="765" t="s">
        <v>530</v>
      </c>
      <c r="H42" s="765"/>
      <c r="I42" s="764"/>
      <c r="J42" s="764"/>
    </row>
    <row r="43" spans="1:10" ht="15" x14ac:dyDescent="0.2">
      <c r="A43" s="764"/>
      <c r="B43" s="764"/>
      <c r="C43" s="764"/>
      <c r="D43" s="764"/>
      <c r="E43" s="764"/>
      <c r="F43" s="764"/>
      <c r="G43" s="764"/>
      <c r="H43" s="764"/>
      <c r="I43" s="764"/>
      <c r="J43" s="764"/>
    </row>
    <row r="44" spans="1:10" ht="15" x14ac:dyDescent="0.2">
      <c r="A44" s="764"/>
      <c r="B44" s="764"/>
      <c r="C44" s="764"/>
      <c r="D44" s="764"/>
      <c r="E44" s="764"/>
      <c r="F44" s="764"/>
      <c r="G44" s="764"/>
      <c r="H44" s="764"/>
      <c r="I44" s="764"/>
      <c r="J44" s="764"/>
    </row>
    <row r="45" spans="1:10" ht="15" x14ac:dyDescent="0.2">
      <c r="A45" s="764"/>
      <c r="B45" s="764"/>
      <c r="C45" s="764"/>
      <c r="D45" s="764"/>
      <c r="E45" s="764"/>
      <c r="F45" s="764"/>
      <c r="G45" s="764"/>
      <c r="H45" s="764"/>
      <c r="I45" s="764"/>
      <c r="J45" s="764"/>
    </row>
    <row r="46" spans="1:10" ht="15.75" x14ac:dyDescent="0.25">
      <c r="A46" s="765" t="s">
        <v>516</v>
      </c>
      <c r="B46" s="765"/>
      <c r="C46" s="765"/>
      <c r="D46" s="765"/>
      <c r="E46" s="764"/>
      <c r="F46" s="764"/>
      <c r="G46" s="764"/>
      <c r="H46" s="764"/>
      <c r="I46" s="764"/>
      <c r="J46" s="764"/>
    </row>
    <row r="47" spans="1:10" ht="15" x14ac:dyDescent="0.2">
      <c r="A47" s="764" t="s">
        <v>524</v>
      </c>
      <c r="B47" s="764"/>
      <c r="C47" s="764"/>
      <c r="D47" s="764"/>
      <c r="E47" s="764" t="s">
        <v>528</v>
      </c>
      <c r="F47" s="764"/>
      <c r="G47" s="764"/>
      <c r="H47" s="764"/>
      <c r="I47" s="764"/>
      <c r="J47" s="764"/>
    </row>
    <row r="48" spans="1:10" ht="15" x14ac:dyDescent="0.2">
      <c r="A48" s="764"/>
      <c r="B48" s="764"/>
      <c r="C48" s="764"/>
      <c r="D48" s="764"/>
      <c r="E48" s="764"/>
      <c r="F48" s="764"/>
      <c r="G48" s="764"/>
      <c r="H48" s="764"/>
      <c r="I48" s="764"/>
      <c r="J48" s="764"/>
    </row>
    <row r="49" spans="1:10" ht="15" x14ac:dyDescent="0.2">
      <c r="A49" s="764"/>
      <c r="B49" s="764"/>
      <c r="C49" s="764"/>
      <c r="D49" s="764"/>
      <c r="E49" s="764"/>
      <c r="F49" s="764"/>
      <c r="G49" s="764"/>
      <c r="H49" s="764"/>
      <c r="I49" s="764"/>
      <c r="J49" s="764"/>
    </row>
    <row r="50" spans="1:10" ht="15" x14ac:dyDescent="0.2">
      <c r="A50" s="764"/>
      <c r="B50" s="764"/>
      <c r="C50" s="764"/>
      <c r="D50" s="764"/>
      <c r="E50" s="764"/>
      <c r="F50" s="764"/>
      <c r="G50" s="764"/>
      <c r="H50" s="764"/>
      <c r="I50" s="764"/>
      <c r="J50" s="764"/>
    </row>
    <row r="51" spans="1:10" ht="15.75" x14ac:dyDescent="0.25">
      <c r="A51" s="803" t="s">
        <v>517</v>
      </c>
      <c r="B51" s="803"/>
      <c r="C51" s="803"/>
      <c r="D51" s="804"/>
      <c r="E51" s="764"/>
      <c r="F51" s="764"/>
      <c r="G51" s="764"/>
      <c r="H51" s="764"/>
      <c r="I51" s="764"/>
      <c r="J51" s="764"/>
    </row>
    <row r="52" spans="1:10" ht="15" x14ac:dyDescent="0.2">
      <c r="A52" s="764" t="s">
        <v>524</v>
      </c>
      <c r="B52" s="764"/>
      <c r="C52" s="764"/>
      <c r="D52" s="764"/>
      <c r="E52" s="764" t="s">
        <v>534</v>
      </c>
      <c r="F52" s="764"/>
      <c r="G52" s="764"/>
      <c r="H52" s="764"/>
      <c r="I52" s="764"/>
      <c r="J52" s="764"/>
    </row>
    <row r="53" spans="1:10" ht="15" x14ac:dyDescent="0.2">
      <c r="A53" s="802" t="s">
        <v>525</v>
      </c>
      <c r="B53" s="802"/>
      <c r="C53" s="802"/>
      <c r="D53" s="802"/>
      <c r="E53" s="764"/>
      <c r="F53" s="764"/>
      <c r="G53" s="764"/>
      <c r="H53" s="764"/>
      <c r="I53" s="764"/>
      <c r="J53" s="764"/>
    </row>
    <row r="54" spans="1:10" ht="15" x14ac:dyDescent="0.2">
      <c r="A54" s="764"/>
      <c r="B54" s="764"/>
      <c r="C54" s="764"/>
      <c r="D54" s="764"/>
      <c r="E54" s="764"/>
      <c r="F54" s="764"/>
      <c r="G54" s="764"/>
      <c r="H54" s="764"/>
      <c r="I54" s="764"/>
      <c r="J54" s="764"/>
    </row>
    <row r="55" spans="1:10" ht="15" x14ac:dyDescent="0.2">
      <c r="A55" s="764"/>
      <c r="B55" s="764"/>
      <c r="C55" s="764"/>
      <c r="D55" s="764"/>
      <c r="E55" s="764"/>
      <c r="F55" s="764"/>
      <c r="G55" s="764"/>
      <c r="H55" s="764"/>
      <c r="I55" s="764"/>
      <c r="J55" s="764"/>
    </row>
    <row r="56" spans="1:10" ht="15" x14ac:dyDescent="0.2">
      <c r="A56" s="764"/>
      <c r="B56" s="764"/>
      <c r="C56" s="764"/>
      <c r="D56" s="764"/>
      <c r="E56" s="764"/>
      <c r="F56" s="764"/>
      <c r="G56" s="764"/>
      <c r="H56" s="764"/>
      <c r="I56" s="764"/>
      <c r="J56" s="764"/>
    </row>
    <row r="57" spans="1:10" ht="15" x14ac:dyDescent="0.2">
      <c r="A57" s="764"/>
      <c r="B57" s="764"/>
      <c r="C57" s="764"/>
      <c r="D57" s="764"/>
      <c r="E57" s="764"/>
      <c r="F57" s="764"/>
      <c r="G57" s="764"/>
      <c r="H57" s="764"/>
      <c r="I57" s="764"/>
      <c r="J57" s="764"/>
    </row>
    <row r="58" spans="1:10" ht="15" x14ac:dyDescent="0.2">
      <c r="A58" s="764"/>
      <c r="B58" s="764"/>
      <c r="C58" s="764"/>
      <c r="D58" s="764"/>
      <c r="E58" s="764"/>
      <c r="F58" s="764"/>
      <c r="G58" s="764"/>
      <c r="H58" s="764"/>
      <c r="I58" s="764"/>
      <c r="J58" s="764"/>
    </row>
    <row r="59" spans="1:10" ht="15" x14ac:dyDescent="0.2">
      <c r="A59" s="764"/>
      <c r="B59" s="764"/>
      <c r="C59" s="764"/>
      <c r="D59" s="764"/>
      <c r="E59" s="764"/>
      <c r="F59" s="764"/>
      <c r="G59" s="764"/>
      <c r="H59" s="764"/>
      <c r="I59" s="764"/>
      <c r="J59" s="764"/>
    </row>
    <row r="60" spans="1:10" ht="15" x14ac:dyDescent="0.2">
      <c r="A60" s="764"/>
      <c r="B60" s="764"/>
      <c r="C60" s="764"/>
      <c r="D60" s="764"/>
      <c r="E60" s="764"/>
      <c r="F60" s="764"/>
      <c r="G60" s="764"/>
      <c r="H60" s="764"/>
      <c r="I60" s="764"/>
      <c r="J60" s="764"/>
    </row>
    <row r="61" spans="1:10" ht="15" x14ac:dyDescent="0.2">
      <c r="A61" s="764"/>
      <c r="B61" s="764"/>
      <c r="C61" s="764"/>
      <c r="D61" s="764"/>
      <c r="E61" s="764"/>
      <c r="F61" s="764"/>
      <c r="G61" s="764"/>
      <c r="H61" s="764"/>
      <c r="I61" s="764"/>
      <c r="J61" s="764"/>
    </row>
    <row r="62" spans="1:10" ht="15" x14ac:dyDescent="0.2">
      <c r="A62" s="764"/>
      <c r="B62" s="764"/>
      <c r="C62" s="764"/>
      <c r="D62" s="764"/>
      <c r="E62" s="764"/>
      <c r="F62" s="764"/>
      <c r="G62" s="764"/>
      <c r="H62" s="764"/>
      <c r="I62" s="764"/>
      <c r="J62" s="764"/>
    </row>
    <row r="63" spans="1:10" ht="15" x14ac:dyDescent="0.2">
      <c r="A63" s="764"/>
      <c r="B63" s="764"/>
      <c r="C63" s="764"/>
      <c r="D63" s="764"/>
      <c r="E63" s="764"/>
      <c r="F63" s="764"/>
      <c r="G63" s="764"/>
      <c r="H63" s="764"/>
      <c r="I63" s="764"/>
      <c r="J63" s="764"/>
    </row>
    <row r="64" spans="1:10" ht="15" x14ac:dyDescent="0.2">
      <c r="A64" s="764"/>
      <c r="B64" s="764"/>
      <c r="C64" s="764"/>
      <c r="D64" s="764"/>
      <c r="E64" s="764"/>
      <c r="F64" s="764"/>
      <c r="G64" s="764"/>
      <c r="H64" s="764"/>
      <c r="I64" s="764"/>
      <c r="J64" s="764"/>
    </row>
    <row r="65" spans="1:10" ht="15" x14ac:dyDescent="0.2">
      <c r="A65" s="764"/>
      <c r="B65" s="764"/>
      <c r="C65" s="764"/>
      <c r="D65" s="764"/>
      <c r="E65" s="764"/>
      <c r="F65" s="764"/>
      <c r="G65" s="764"/>
      <c r="H65" s="764"/>
      <c r="I65" s="764"/>
      <c r="J65" s="764"/>
    </row>
    <row r="66" spans="1:10" ht="15" x14ac:dyDescent="0.2">
      <c r="A66" s="764"/>
      <c r="B66" s="764"/>
      <c r="C66" s="764"/>
      <c r="D66" s="764"/>
      <c r="E66" s="764"/>
      <c r="F66" s="764"/>
      <c r="G66" s="764"/>
      <c r="H66" s="764"/>
      <c r="I66" s="764"/>
      <c r="J66" s="764"/>
    </row>
    <row r="67" spans="1:10" ht="15" x14ac:dyDescent="0.2">
      <c r="A67" s="764"/>
      <c r="B67" s="764"/>
      <c r="C67" s="764"/>
      <c r="D67" s="764"/>
      <c r="E67" s="764"/>
      <c r="F67" s="764"/>
      <c r="G67" s="764"/>
      <c r="H67" s="764"/>
      <c r="I67" s="764"/>
      <c r="J67" s="764"/>
    </row>
    <row r="68" spans="1:10" ht="15" x14ac:dyDescent="0.2">
      <c r="A68" s="764"/>
      <c r="B68" s="764"/>
      <c r="C68" s="764"/>
      <c r="D68" s="764"/>
      <c r="E68" s="764"/>
      <c r="F68" s="764"/>
      <c r="G68" s="764"/>
      <c r="H68" s="764"/>
      <c r="I68" s="764"/>
      <c r="J68" s="764"/>
    </row>
    <row r="69" spans="1:10" ht="15" x14ac:dyDescent="0.2">
      <c r="A69" s="764"/>
      <c r="B69" s="764"/>
      <c r="C69" s="764"/>
      <c r="D69" s="764"/>
      <c r="E69" s="764"/>
      <c r="F69" s="764"/>
      <c r="G69" s="764"/>
      <c r="H69" s="764"/>
      <c r="I69" s="764"/>
      <c r="J69" s="764"/>
    </row>
    <row r="70" spans="1:10" ht="15" x14ac:dyDescent="0.2">
      <c r="A70" s="764"/>
      <c r="B70" s="764"/>
      <c r="C70" s="764"/>
      <c r="D70" s="764"/>
      <c r="E70" s="764"/>
      <c r="F70" s="764"/>
      <c r="G70" s="764"/>
      <c r="H70" s="764"/>
      <c r="I70" s="764"/>
      <c r="J70" s="764"/>
    </row>
    <row r="71" spans="1:10" ht="15" x14ac:dyDescent="0.2">
      <c r="A71" s="764"/>
      <c r="B71" s="764"/>
      <c r="C71" s="764"/>
      <c r="D71" s="764"/>
      <c r="E71" s="764"/>
      <c r="F71" s="764"/>
      <c r="G71" s="764"/>
      <c r="H71" s="764"/>
      <c r="I71" s="764"/>
      <c r="J71" s="764"/>
    </row>
    <row r="72" spans="1:10" ht="15" x14ac:dyDescent="0.2">
      <c r="A72" s="764"/>
      <c r="B72" s="764"/>
      <c r="C72" s="764"/>
      <c r="D72" s="764"/>
      <c r="E72" s="764"/>
      <c r="F72" s="764"/>
      <c r="G72" s="764"/>
      <c r="H72" s="764"/>
      <c r="I72" s="764"/>
      <c r="J72" s="764"/>
    </row>
    <row r="73" spans="1:10" ht="15" x14ac:dyDescent="0.2">
      <c r="A73" s="764"/>
      <c r="B73" s="764"/>
      <c r="C73" s="764"/>
      <c r="D73" s="764"/>
      <c r="E73" s="764"/>
      <c r="F73" s="764"/>
      <c r="G73" s="764"/>
      <c r="H73" s="764"/>
      <c r="I73" s="764"/>
      <c r="J73" s="764"/>
    </row>
    <row r="74" spans="1:10" ht="15" x14ac:dyDescent="0.2">
      <c r="A74" s="764"/>
      <c r="B74" s="764"/>
      <c r="C74" s="764"/>
      <c r="D74" s="764"/>
      <c r="E74" s="764"/>
      <c r="F74" s="764"/>
      <c r="G74" s="764"/>
      <c r="H74" s="764"/>
      <c r="I74" s="764"/>
      <c r="J74" s="764"/>
    </row>
    <row r="75" spans="1:10" ht="15" x14ac:dyDescent="0.2">
      <c r="A75" s="764"/>
      <c r="B75" s="764"/>
      <c r="C75" s="764"/>
      <c r="D75" s="764"/>
      <c r="E75" s="764"/>
      <c r="F75" s="764"/>
      <c r="G75" s="764"/>
      <c r="H75" s="764"/>
      <c r="I75" s="764"/>
      <c r="J75" s="764"/>
    </row>
    <row r="76" spans="1:10" ht="15" x14ac:dyDescent="0.2">
      <c r="A76" s="764"/>
      <c r="B76" s="764"/>
      <c r="C76" s="764"/>
      <c r="D76" s="764"/>
      <c r="E76" s="764"/>
      <c r="F76" s="764"/>
      <c r="G76" s="764"/>
      <c r="H76" s="764"/>
      <c r="I76" s="764"/>
      <c r="J76" s="764"/>
    </row>
    <row r="77" spans="1:10" ht="15" x14ac:dyDescent="0.2">
      <c r="A77" s="764"/>
      <c r="B77" s="764"/>
      <c r="C77" s="764"/>
      <c r="D77" s="764"/>
      <c r="E77" s="764"/>
      <c r="F77" s="764"/>
      <c r="G77" s="764"/>
      <c r="H77" s="764"/>
      <c r="I77" s="764"/>
      <c r="J77" s="764"/>
    </row>
    <row r="78" spans="1:10" ht="15" x14ac:dyDescent="0.2">
      <c r="A78" s="764"/>
      <c r="B78" s="764"/>
      <c r="C78" s="764"/>
      <c r="D78" s="764"/>
      <c r="E78" s="764"/>
      <c r="F78" s="764"/>
      <c r="G78" s="764"/>
      <c r="H78" s="764"/>
      <c r="I78" s="764"/>
      <c r="J78" s="764"/>
    </row>
    <row r="79" spans="1:10" ht="15" x14ac:dyDescent="0.2">
      <c r="A79" s="764"/>
      <c r="B79" s="764"/>
      <c r="C79" s="764"/>
      <c r="D79" s="764"/>
      <c r="E79" s="764"/>
      <c r="F79" s="764"/>
      <c r="G79" s="764"/>
      <c r="H79" s="764"/>
      <c r="I79" s="764"/>
      <c r="J79" s="764"/>
    </row>
    <row r="80" spans="1:10" ht="15" x14ac:dyDescent="0.2">
      <c r="A80" s="764"/>
      <c r="B80" s="764"/>
      <c r="C80" s="764"/>
      <c r="D80" s="764"/>
      <c r="E80" s="764"/>
      <c r="F80" s="764"/>
      <c r="G80" s="764"/>
      <c r="H80" s="764"/>
      <c r="I80" s="764"/>
      <c r="J80" s="764"/>
    </row>
    <row r="81" spans="1:10" ht="15" x14ac:dyDescent="0.2">
      <c r="A81" s="764"/>
      <c r="B81" s="764"/>
      <c r="C81" s="764"/>
      <c r="D81" s="764"/>
      <c r="E81" s="764"/>
      <c r="F81" s="764"/>
      <c r="G81" s="764"/>
      <c r="H81" s="764"/>
      <c r="I81" s="764"/>
      <c r="J81" s="764"/>
    </row>
    <row r="82" spans="1:10" ht="15" x14ac:dyDescent="0.2">
      <c r="A82" s="764"/>
      <c r="B82" s="764"/>
      <c r="C82" s="764"/>
      <c r="D82" s="764"/>
      <c r="E82" s="764"/>
      <c r="F82" s="764"/>
      <c r="G82" s="764"/>
      <c r="H82" s="764"/>
      <c r="I82" s="764"/>
      <c r="J82" s="764"/>
    </row>
  </sheetData>
  <mergeCells count="25">
    <mergeCell ref="A12:C12"/>
    <mergeCell ref="A21:C21"/>
    <mergeCell ref="D23:J23"/>
    <mergeCell ref="A19:C19"/>
    <mergeCell ref="D21:J21"/>
    <mergeCell ref="A23:C23"/>
    <mergeCell ref="D19:J19"/>
    <mergeCell ref="A17:C17"/>
    <mergeCell ref="D17:J17"/>
    <mergeCell ref="A53:D53"/>
    <mergeCell ref="A51:D51"/>
    <mergeCell ref="A42:C42"/>
    <mergeCell ref="G6:J6"/>
    <mergeCell ref="A1:J1"/>
    <mergeCell ref="D12:J12"/>
    <mergeCell ref="A3:B3"/>
    <mergeCell ref="A4:B4"/>
    <mergeCell ref="C3:G3"/>
    <mergeCell ref="C4:F4"/>
    <mergeCell ref="A10:C10"/>
    <mergeCell ref="D10:J10"/>
    <mergeCell ref="A8:J8"/>
    <mergeCell ref="A15:J15"/>
    <mergeCell ref="A27:J40"/>
    <mergeCell ref="A26:F26"/>
  </mergeCells>
  <phoneticPr fontId="0" type="noConversion"/>
  <pageMargins left="0.19685039370078741" right="0.19685039370078741" top="0.98425196850393704" bottom="0.98425196850393704" header="0.51181102362204722" footer="0.51181102362204722"/>
  <pageSetup paperSize="9" scale="80" orientation="portrait" horizontalDpi="300" verticalDpi="300" r:id="rId1"/>
  <headerFooter alignWithMargins="0">
    <oddHeader xml:space="preserve">&amp;L&amp;"Arial CE,Tučné"&amp;12Město Ostrov&amp;R
</oddHeader>
    <oddFooter xml:space="preserve">&amp;C&amp;P&amp;R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F104"/>
  <sheetViews>
    <sheetView workbookViewId="0"/>
  </sheetViews>
  <sheetFormatPr defaultRowHeight="12.75" x14ac:dyDescent="0.2"/>
  <cols>
    <col min="3" max="3" width="10.42578125" bestFit="1" customWidth="1"/>
    <col min="4" max="4" width="9.28515625" bestFit="1" customWidth="1"/>
    <col min="6" max="6" width="100" bestFit="1" customWidth="1"/>
    <col min="7" max="7" width="11.140625" hidden="1" customWidth="1"/>
    <col min="8" max="9" width="0" hidden="1" customWidth="1"/>
    <col min="10" max="10" width="12.28515625" hidden="1" customWidth="1"/>
    <col min="11" max="11" width="0" hidden="1" customWidth="1"/>
    <col min="12" max="12" width="10.5703125" bestFit="1" customWidth="1"/>
    <col min="13" max="13" width="10" hidden="1" customWidth="1"/>
    <col min="14" max="14" width="12" hidden="1" customWidth="1"/>
    <col min="15" max="15" width="9.85546875" bestFit="1" customWidth="1"/>
    <col min="16" max="16" width="10" hidden="1" customWidth="1"/>
    <col min="17" max="17" width="12" hidden="1" customWidth="1"/>
    <col min="18" max="18" width="10.5703125" hidden="1" customWidth="1"/>
    <col min="19" max="26" width="0" hidden="1" customWidth="1"/>
    <col min="27" max="27" width="12" bestFit="1" customWidth="1"/>
    <col min="28" max="28" width="9.42578125" bestFit="1" customWidth="1"/>
    <col min="30" max="30" width="12" bestFit="1" customWidth="1"/>
    <col min="31" max="31" width="12" customWidth="1"/>
  </cols>
  <sheetData>
    <row r="1" spans="1:32" ht="15" x14ac:dyDescent="0.25">
      <c r="A1" s="256" t="s">
        <v>111</v>
      </c>
    </row>
    <row r="2" spans="1:32" ht="15" x14ac:dyDescent="0.25">
      <c r="A2" s="256"/>
      <c r="AA2" s="240" t="e">
        <f>AA6/O6</f>
        <v>#DIV/0!</v>
      </c>
      <c r="AB2" s="240" t="e">
        <f>AB4/O6</f>
        <v>#DIV/0!</v>
      </c>
      <c r="AC2" s="240" t="e">
        <f>AC4/O6</f>
        <v>#DIV/0!</v>
      </c>
      <c r="AD2" s="380" t="e">
        <f>AD4/O6</f>
        <v>#DIV/0!</v>
      </c>
      <c r="AE2" s="380" t="e">
        <f>AE4/O6</f>
        <v>#DIV/0!</v>
      </c>
      <c r="AF2" s="380" t="e">
        <f>AF4/O6</f>
        <v>#DIV/0!</v>
      </c>
    </row>
    <row r="3" spans="1:32" x14ac:dyDescent="0.2">
      <c r="AA3" s="219" t="s">
        <v>232</v>
      </c>
      <c r="AB3" s="219"/>
      <c r="AC3" s="219"/>
      <c r="AD3" s="59" t="s">
        <v>422</v>
      </c>
      <c r="AE3" s="59"/>
      <c r="AF3" s="59"/>
    </row>
    <row r="4" spans="1:32" ht="13.5" thickBot="1" x14ac:dyDescent="0.25">
      <c r="AA4" s="257"/>
      <c r="AB4" s="257"/>
      <c r="AC4" s="257"/>
      <c r="AD4" s="258"/>
      <c r="AE4" s="258"/>
      <c r="AF4" s="258"/>
    </row>
    <row r="5" spans="1:32" ht="15.75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259" t="s">
        <v>87</v>
      </c>
      <c r="AB5" s="259" t="s">
        <v>89</v>
      </c>
      <c r="AC5" s="259" t="s">
        <v>88</v>
      </c>
      <c r="AD5" s="260" t="s">
        <v>87</v>
      </c>
      <c r="AE5" s="260" t="s">
        <v>89</v>
      </c>
      <c r="AF5" s="260" t="s">
        <v>88</v>
      </c>
    </row>
    <row r="6" spans="1:32" ht="15" x14ac:dyDescent="0.25">
      <c r="A6" s="300"/>
      <c r="B6" s="29">
        <v>6171</v>
      </c>
      <c r="C6" s="15"/>
      <c r="D6" s="27"/>
      <c r="E6" s="27"/>
      <c r="F6" s="16" t="s">
        <v>20</v>
      </c>
      <c r="G6" s="17">
        <f>SUM(G7:G83)</f>
        <v>27372</v>
      </c>
      <c r="H6" s="17">
        <f>SUM(H7:H83)</f>
        <v>39763</v>
      </c>
      <c r="I6" s="17">
        <f>SUM(I7:I83)</f>
        <v>39717</v>
      </c>
      <c r="J6" s="17">
        <f>SUM(J7:J83)</f>
        <v>16798</v>
      </c>
      <c r="K6" s="17">
        <f>SUM(K7:K83)</f>
        <v>40640</v>
      </c>
      <c r="L6" s="17">
        <f t="shared" ref="L6:V6" si="0">SUM(L7:L85)</f>
        <v>0</v>
      </c>
      <c r="M6" s="17">
        <f t="shared" si="0"/>
        <v>0</v>
      </c>
      <c r="N6" s="124">
        <f t="shared" si="0"/>
        <v>0</v>
      </c>
      <c r="O6" s="17">
        <f t="shared" si="0"/>
        <v>0</v>
      </c>
      <c r="P6" s="17">
        <f t="shared" si="0"/>
        <v>0</v>
      </c>
      <c r="Q6" s="124">
        <f t="shared" si="0"/>
        <v>0</v>
      </c>
      <c r="R6" s="17">
        <f t="shared" si="0"/>
        <v>533</v>
      </c>
      <c r="S6" s="17">
        <f t="shared" si="0"/>
        <v>533</v>
      </c>
      <c r="T6" s="124">
        <f t="shared" si="0"/>
        <v>0</v>
      </c>
      <c r="U6" s="17">
        <f t="shared" si="0"/>
        <v>472</v>
      </c>
      <c r="V6" s="17">
        <f t="shared" si="0"/>
        <v>1005</v>
      </c>
      <c r="W6" s="234" t="e">
        <f t="shared" ref="W6:W27" si="1">R6/O6</f>
        <v>#DIV/0!</v>
      </c>
      <c r="X6" s="234" t="e">
        <f t="shared" ref="X6:X27" si="2">V6/O6</f>
        <v>#DIV/0!</v>
      </c>
      <c r="Y6" s="17">
        <f t="shared" ref="Y6:Y27" si="3">O6-V6</f>
        <v>-1005</v>
      </c>
      <c r="Z6" s="235"/>
      <c r="AA6" s="17">
        <f t="shared" ref="AA6:AF6" si="4">SUM(AA7:AA85)</f>
        <v>-8</v>
      </c>
      <c r="AB6" s="17">
        <f t="shared" si="4"/>
        <v>0</v>
      </c>
      <c r="AC6" s="17">
        <f t="shared" si="4"/>
        <v>0</v>
      </c>
      <c r="AD6" s="17">
        <f t="shared" si="4"/>
        <v>4</v>
      </c>
      <c r="AE6" s="17">
        <f t="shared" si="4"/>
        <v>0</v>
      </c>
      <c r="AF6" s="304">
        <f t="shared" si="4"/>
        <v>0</v>
      </c>
    </row>
    <row r="7" spans="1:32" ht="15" x14ac:dyDescent="0.25">
      <c r="A7" s="301" t="s">
        <v>442</v>
      </c>
      <c r="B7" s="187">
        <v>6171</v>
      </c>
      <c r="C7" s="161">
        <v>5011</v>
      </c>
      <c r="D7" s="167">
        <v>190101</v>
      </c>
      <c r="E7" s="167"/>
      <c r="F7" s="164" t="s">
        <v>149</v>
      </c>
      <c r="G7" s="176">
        <v>10967</v>
      </c>
      <c r="H7" s="176">
        <f>11959+5185</f>
        <v>17144</v>
      </c>
      <c r="I7" s="174">
        <f>H7</f>
        <v>17144</v>
      </c>
      <c r="J7" s="174">
        <v>7434</v>
      </c>
      <c r="K7" s="174">
        <v>17970</v>
      </c>
      <c r="L7" s="164"/>
      <c r="M7" s="129"/>
      <c r="N7" s="95"/>
      <c r="O7" s="152">
        <f t="shared" ref="O7:O27" si="5">L7</f>
        <v>0</v>
      </c>
      <c r="P7" s="261"/>
      <c r="Q7" s="262"/>
      <c r="R7" s="49"/>
      <c r="S7" s="262"/>
      <c r="T7" s="262"/>
      <c r="U7" s="49"/>
      <c r="V7" s="49">
        <f t="shared" ref="V7:V27" si="6">R7+U7</f>
        <v>0</v>
      </c>
      <c r="W7" s="263" t="e">
        <f t="shared" si="1"/>
        <v>#DIV/0!</v>
      </c>
      <c r="X7" s="263" t="e">
        <f t="shared" si="2"/>
        <v>#DIV/0!</v>
      </c>
      <c r="Y7" s="50">
        <f t="shared" si="3"/>
        <v>0</v>
      </c>
      <c r="Z7" s="264"/>
      <c r="AA7" s="265"/>
      <c r="AB7" s="264"/>
      <c r="AC7" s="264"/>
      <c r="AD7" s="50">
        <f>O7*54/100</f>
        <v>0</v>
      </c>
      <c r="AE7" s="50"/>
      <c r="AF7" s="305"/>
    </row>
    <row r="8" spans="1:32" ht="15" x14ac:dyDescent="0.25">
      <c r="A8" s="301" t="s">
        <v>442</v>
      </c>
      <c r="B8" s="187">
        <v>6171</v>
      </c>
      <c r="C8" s="161">
        <v>5011</v>
      </c>
      <c r="D8" s="167">
        <v>190102</v>
      </c>
      <c r="E8" s="167"/>
      <c r="F8" s="164" t="s">
        <v>217</v>
      </c>
      <c r="G8" s="176">
        <f>2220+882</f>
        <v>3102</v>
      </c>
      <c r="H8" s="176">
        <f>2866+1454</f>
        <v>4320</v>
      </c>
      <c r="I8" s="174">
        <v>4020</v>
      </c>
      <c r="J8" s="174">
        <v>1194</v>
      </c>
      <c r="K8" s="174">
        <v>4020</v>
      </c>
      <c r="L8" s="175"/>
      <c r="M8" s="129"/>
      <c r="N8" s="95"/>
      <c r="O8" s="18">
        <f t="shared" si="5"/>
        <v>0</v>
      </c>
      <c r="P8" s="266"/>
      <c r="Q8" s="267"/>
      <c r="R8" s="21"/>
      <c r="S8" s="267"/>
      <c r="T8" s="267"/>
      <c r="U8" s="21"/>
      <c r="V8" s="21">
        <f t="shared" si="6"/>
        <v>0</v>
      </c>
      <c r="W8" s="249" t="e">
        <f t="shared" si="1"/>
        <v>#DIV/0!</v>
      </c>
      <c r="X8" s="249" t="e">
        <f t="shared" si="2"/>
        <v>#DIV/0!</v>
      </c>
      <c r="Y8" s="12">
        <f t="shared" si="3"/>
        <v>0</v>
      </c>
      <c r="Z8" s="268"/>
      <c r="AA8" s="175">
        <f>O8*54/100</f>
        <v>0</v>
      </c>
      <c r="AB8" s="268"/>
      <c r="AC8" s="268"/>
      <c r="AD8" s="12"/>
      <c r="AE8" s="12"/>
      <c r="AF8" s="306"/>
    </row>
    <row r="9" spans="1:32" ht="15" x14ac:dyDescent="0.25">
      <c r="A9" s="301" t="s">
        <v>442</v>
      </c>
      <c r="B9" s="187">
        <v>6171</v>
      </c>
      <c r="C9" s="161">
        <v>5011</v>
      </c>
      <c r="D9" s="167">
        <v>190103</v>
      </c>
      <c r="E9" s="167"/>
      <c r="F9" s="164" t="s">
        <v>156</v>
      </c>
      <c r="G9" s="176">
        <v>353</v>
      </c>
      <c r="H9" s="176">
        <f>476+213</f>
        <v>689</v>
      </c>
      <c r="I9" s="174">
        <f>H9</f>
        <v>689</v>
      </c>
      <c r="J9" s="174">
        <v>220</v>
      </c>
      <c r="K9" s="174">
        <v>689</v>
      </c>
      <c r="L9" s="175"/>
      <c r="M9" s="130">
        <f>SUM(L7:L9)</f>
        <v>0</v>
      </c>
      <c r="N9" s="126"/>
      <c r="O9" s="18">
        <f t="shared" si="5"/>
        <v>0</v>
      </c>
      <c r="P9" s="269">
        <f>SUM(O7:O9)</f>
        <v>0</v>
      </c>
      <c r="Q9" s="267"/>
      <c r="R9" s="21"/>
      <c r="S9" s="269">
        <f>SUM(R7:R9)</f>
        <v>0</v>
      </c>
      <c r="T9" s="267"/>
      <c r="U9" s="21"/>
      <c r="V9" s="21">
        <f t="shared" si="6"/>
        <v>0</v>
      </c>
      <c r="W9" s="249" t="e">
        <f t="shared" si="1"/>
        <v>#DIV/0!</v>
      </c>
      <c r="X9" s="249" t="e">
        <f t="shared" si="2"/>
        <v>#DIV/0!</v>
      </c>
      <c r="Y9" s="12">
        <f t="shared" si="3"/>
        <v>0</v>
      </c>
      <c r="Z9" s="268"/>
      <c r="AA9" s="175">
        <f>O9*54/100</f>
        <v>0</v>
      </c>
      <c r="AB9" s="268"/>
      <c r="AC9" s="268"/>
      <c r="AD9" s="12"/>
      <c r="AE9" s="12"/>
      <c r="AF9" s="306"/>
    </row>
    <row r="10" spans="1:32" ht="15" x14ac:dyDescent="0.25">
      <c r="A10" s="301" t="s">
        <v>442</v>
      </c>
      <c r="B10" s="187">
        <v>6171</v>
      </c>
      <c r="C10" s="161">
        <v>5019</v>
      </c>
      <c r="D10" s="167">
        <v>190201</v>
      </c>
      <c r="E10" s="167"/>
      <c r="F10" s="163" t="s">
        <v>33</v>
      </c>
      <c r="G10" s="176">
        <v>5</v>
      </c>
      <c r="H10" s="176">
        <v>10</v>
      </c>
      <c r="I10" s="174">
        <f>H10</f>
        <v>10</v>
      </c>
      <c r="J10" s="174">
        <v>1</v>
      </c>
      <c r="K10" s="174">
        <v>10</v>
      </c>
      <c r="L10" s="175"/>
      <c r="M10" s="133">
        <f>L10</f>
        <v>0</v>
      </c>
      <c r="N10" s="95"/>
      <c r="O10" s="18">
        <f t="shared" si="5"/>
        <v>0</v>
      </c>
      <c r="P10" s="270">
        <f>O10</f>
        <v>0</v>
      </c>
      <c r="Q10" s="271"/>
      <c r="R10" s="21"/>
      <c r="S10" s="270">
        <f>R10</f>
        <v>0</v>
      </c>
      <c r="T10" s="271"/>
      <c r="U10" s="21"/>
      <c r="V10" s="21">
        <f t="shared" si="6"/>
        <v>0</v>
      </c>
      <c r="W10" s="249" t="e">
        <f t="shared" si="1"/>
        <v>#DIV/0!</v>
      </c>
      <c r="X10" s="249" t="e">
        <f t="shared" si="2"/>
        <v>#DIV/0!</v>
      </c>
      <c r="Y10" s="12">
        <f t="shared" si="3"/>
        <v>0</v>
      </c>
      <c r="Z10" s="268"/>
      <c r="AA10" s="194"/>
      <c r="AB10" s="268"/>
      <c r="AC10" s="268"/>
      <c r="AD10" s="12"/>
      <c r="AE10" s="12"/>
      <c r="AF10" s="306"/>
    </row>
    <row r="11" spans="1:32" ht="15" x14ac:dyDescent="0.25">
      <c r="A11" s="301" t="s">
        <v>442</v>
      </c>
      <c r="B11" s="187">
        <v>6171</v>
      </c>
      <c r="C11" s="161">
        <v>5021</v>
      </c>
      <c r="D11" s="167">
        <v>190101</v>
      </c>
      <c r="E11" s="167"/>
      <c r="F11" s="164" t="s">
        <v>296</v>
      </c>
      <c r="G11" s="176">
        <v>899</v>
      </c>
      <c r="H11" s="176">
        <v>900</v>
      </c>
      <c r="I11" s="174">
        <f>H11</f>
        <v>900</v>
      </c>
      <c r="J11" s="174">
        <v>363</v>
      </c>
      <c r="K11" s="174">
        <v>900</v>
      </c>
      <c r="L11" s="175"/>
      <c r="M11" s="134"/>
      <c r="N11" s="95"/>
      <c r="O11" s="18">
        <f t="shared" si="5"/>
        <v>0</v>
      </c>
      <c r="P11" s="272"/>
      <c r="Q11" s="273"/>
      <c r="R11" s="21"/>
      <c r="S11" s="273"/>
      <c r="T11" s="273"/>
      <c r="U11" s="21"/>
      <c r="V11" s="21">
        <f t="shared" si="6"/>
        <v>0</v>
      </c>
      <c r="W11" s="249" t="e">
        <f t="shared" si="1"/>
        <v>#DIV/0!</v>
      </c>
      <c r="X11" s="249" t="e">
        <f t="shared" si="2"/>
        <v>#DIV/0!</v>
      </c>
      <c r="Y11" s="12">
        <f t="shared" si="3"/>
        <v>0</v>
      </c>
      <c r="Z11" s="268"/>
      <c r="AA11" s="194"/>
      <c r="AB11" s="268"/>
      <c r="AC11" s="268"/>
      <c r="AD11" s="12"/>
      <c r="AE11" s="12"/>
      <c r="AF11" s="306"/>
    </row>
    <row r="12" spans="1:32" ht="15" x14ac:dyDescent="0.25">
      <c r="A12" s="301" t="s">
        <v>442</v>
      </c>
      <c r="B12" s="187">
        <v>6171</v>
      </c>
      <c r="C12" s="161">
        <v>5021</v>
      </c>
      <c r="D12" s="167">
        <v>190102</v>
      </c>
      <c r="E12" s="167"/>
      <c r="F12" s="164" t="s">
        <v>218</v>
      </c>
      <c r="G12" s="176">
        <v>299</v>
      </c>
      <c r="H12" s="176">
        <v>270</v>
      </c>
      <c r="I12" s="174">
        <f>H12+100</f>
        <v>370</v>
      </c>
      <c r="J12" s="174">
        <v>231</v>
      </c>
      <c r="K12" s="174">
        <v>570</v>
      </c>
      <c r="L12" s="175"/>
      <c r="M12" s="135">
        <f>SUM(L11:L12)</f>
        <v>0</v>
      </c>
      <c r="N12" s="126"/>
      <c r="O12" s="18">
        <f t="shared" si="5"/>
        <v>0</v>
      </c>
      <c r="P12" s="274">
        <f>SUM(O11:O12)</f>
        <v>0</v>
      </c>
      <c r="Q12" s="273"/>
      <c r="R12" s="21"/>
      <c r="S12" s="274">
        <f>SUM(R11:R12)</f>
        <v>0</v>
      </c>
      <c r="T12" s="273"/>
      <c r="U12" s="21"/>
      <c r="V12" s="21">
        <f t="shared" si="6"/>
        <v>0</v>
      </c>
      <c r="W12" s="249" t="e">
        <f t="shared" si="1"/>
        <v>#DIV/0!</v>
      </c>
      <c r="X12" s="249" t="e">
        <f t="shared" si="2"/>
        <v>#DIV/0!</v>
      </c>
      <c r="Y12" s="12">
        <f t="shared" si="3"/>
        <v>0</v>
      </c>
      <c r="Z12" s="268"/>
      <c r="AA12" s="194"/>
      <c r="AB12" s="268"/>
      <c r="AC12" s="268"/>
      <c r="AD12" s="12"/>
      <c r="AE12" s="12"/>
      <c r="AF12" s="306"/>
    </row>
    <row r="13" spans="1:32" ht="15" x14ac:dyDescent="0.25">
      <c r="A13" s="301" t="s">
        <v>23</v>
      </c>
      <c r="B13" s="166">
        <v>6171</v>
      </c>
      <c r="C13" s="162">
        <v>5028</v>
      </c>
      <c r="D13" s="167">
        <v>1901</v>
      </c>
      <c r="E13" s="167"/>
      <c r="F13" s="180" t="s">
        <v>479</v>
      </c>
      <c r="G13" s="176">
        <v>0</v>
      </c>
      <c r="H13" s="176">
        <v>0</v>
      </c>
      <c r="I13" s="176">
        <v>15</v>
      </c>
      <c r="J13" s="176">
        <v>0</v>
      </c>
      <c r="K13" s="176">
        <v>15</v>
      </c>
      <c r="L13" s="164"/>
      <c r="M13" s="133">
        <f t="shared" ref="M13:M18" si="7">L13</f>
        <v>0</v>
      </c>
      <c r="N13" s="95"/>
      <c r="O13" s="18">
        <f t="shared" si="5"/>
        <v>0</v>
      </c>
      <c r="P13" s="270">
        <f t="shared" ref="P13:P18" si="8">O13</f>
        <v>0</v>
      </c>
      <c r="Q13" s="271"/>
      <c r="R13" s="21"/>
      <c r="S13" s="270">
        <f t="shared" ref="S13:S18" si="9">R13</f>
        <v>0</v>
      </c>
      <c r="T13" s="271"/>
      <c r="U13" s="21"/>
      <c r="V13" s="21">
        <f t="shared" si="6"/>
        <v>0</v>
      </c>
      <c r="W13" s="249" t="e">
        <f t="shared" si="1"/>
        <v>#DIV/0!</v>
      </c>
      <c r="X13" s="249" t="e">
        <f t="shared" si="2"/>
        <v>#DIV/0!</v>
      </c>
      <c r="Y13" s="12">
        <f t="shared" si="3"/>
        <v>0</v>
      </c>
      <c r="Z13" s="268"/>
      <c r="AA13" s="194"/>
      <c r="AB13" s="268"/>
      <c r="AC13" s="268"/>
      <c r="AD13" s="12"/>
      <c r="AE13" s="12"/>
      <c r="AF13" s="306"/>
    </row>
    <row r="14" spans="1:32" ht="15" x14ac:dyDescent="0.25">
      <c r="A14" s="301" t="s">
        <v>442</v>
      </c>
      <c r="B14" s="187">
        <v>6171</v>
      </c>
      <c r="C14" s="161">
        <v>5031</v>
      </c>
      <c r="D14" s="167">
        <v>190101</v>
      </c>
      <c r="E14" s="167"/>
      <c r="F14" s="163" t="s">
        <v>241</v>
      </c>
      <c r="G14" s="176">
        <f>3602+223</f>
        <v>3825</v>
      </c>
      <c r="H14" s="176">
        <f>3996+1795</f>
        <v>5791</v>
      </c>
      <c r="I14" s="174">
        <f>H14</f>
        <v>5791</v>
      </c>
      <c r="J14" s="174">
        <v>2311</v>
      </c>
      <c r="K14" s="174">
        <v>5739</v>
      </c>
      <c r="L14" s="164"/>
      <c r="M14" s="136">
        <f t="shared" si="7"/>
        <v>0</v>
      </c>
      <c r="N14" s="95"/>
      <c r="O14" s="18">
        <f t="shared" si="5"/>
        <v>0</v>
      </c>
      <c r="P14" s="269">
        <f t="shared" si="8"/>
        <v>0</v>
      </c>
      <c r="Q14" s="267"/>
      <c r="R14" s="21"/>
      <c r="S14" s="269">
        <f t="shared" si="9"/>
        <v>0</v>
      </c>
      <c r="T14" s="267"/>
      <c r="U14" s="21"/>
      <c r="V14" s="21">
        <f t="shared" si="6"/>
        <v>0</v>
      </c>
      <c r="W14" s="249" t="e">
        <f t="shared" si="1"/>
        <v>#DIV/0!</v>
      </c>
      <c r="X14" s="249" t="e">
        <f t="shared" si="2"/>
        <v>#DIV/0!</v>
      </c>
      <c r="Y14" s="12">
        <f t="shared" si="3"/>
        <v>0</v>
      </c>
      <c r="Z14" s="268"/>
      <c r="AA14" s="175"/>
      <c r="AB14" s="268"/>
      <c r="AC14" s="268"/>
      <c r="AD14" s="12">
        <f>O14*54/100</f>
        <v>0</v>
      </c>
      <c r="AE14" s="12"/>
      <c r="AF14" s="306"/>
    </row>
    <row r="15" spans="1:32" ht="15" x14ac:dyDescent="0.25">
      <c r="A15" s="301" t="s">
        <v>442</v>
      </c>
      <c r="B15" s="187">
        <v>6171</v>
      </c>
      <c r="C15" s="161">
        <v>5031</v>
      </c>
      <c r="D15" s="167">
        <v>190102</v>
      </c>
      <c r="E15" s="167"/>
      <c r="F15" s="163" t="s">
        <v>435</v>
      </c>
      <c r="G15" s="176">
        <v>285</v>
      </c>
      <c r="H15" s="176">
        <v>305</v>
      </c>
      <c r="I15" s="174">
        <f>H15</f>
        <v>305</v>
      </c>
      <c r="J15" s="174">
        <v>155</v>
      </c>
      <c r="K15" s="174">
        <v>357</v>
      </c>
      <c r="L15" s="164"/>
      <c r="M15" s="137">
        <f t="shared" si="7"/>
        <v>0</v>
      </c>
      <c r="N15" s="95"/>
      <c r="O15" s="18">
        <f t="shared" si="5"/>
        <v>0</v>
      </c>
      <c r="P15" s="274">
        <f t="shared" si="8"/>
        <v>0</v>
      </c>
      <c r="Q15" s="273"/>
      <c r="R15" s="21"/>
      <c r="S15" s="274">
        <f t="shared" si="9"/>
        <v>0</v>
      </c>
      <c r="T15" s="273"/>
      <c r="U15" s="21"/>
      <c r="V15" s="21">
        <f t="shared" si="6"/>
        <v>0</v>
      </c>
      <c r="W15" s="249" t="e">
        <f t="shared" si="1"/>
        <v>#DIV/0!</v>
      </c>
      <c r="X15" s="249" t="e">
        <f t="shared" si="2"/>
        <v>#DIV/0!</v>
      </c>
      <c r="Y15" s="12">
        <f t="shared" si="3"/>
        <v>0</v>
      </c>
      <c r="Z15" s="268"/>
      <c r="AA15" s="194"/>
      <c r="AB15" s="268"/>
      <c r="AC15" s="268"/>
      <c r="AD15" s="12"/>
      <c r="AE15" s="12"/>
      <c r="AF15" s="306"/>
    </row>
    <row r="16" spans="1:32" ht="15" x14ac:dyDescent="0.25">
      <c r="A16" s="301" t="s">
        <v>442</v>
      </c>
      <c r="B16" s="187">
        <v>6171</v>
      </c>
      <c r="C16" s="161">
        <v>5032</v>
      </c>
      <c r="D16" s="167">
        <v>190101</v>
      </c>
      <c r="E16" s="167"/>
      <c r="F16" s="163" t="s">
        <v>242</v>
      </c>
      <c r="G16" s="176">
        <f>1238+77</f>
        <v>1315</v>
      </c>
      <c r="H16" s="176">
        <f>1383+622</f>
        <v>2005</v>
      </c>
      <c r="I16" s="174">
        <f>H16</f>
        <v>2005</v>
      </c>
      <c r="J16" s="174">
        <v>793</v>
      </c>
      <c r="K16" s="174">
        <v>1987</v>
      </c>
      <c r="L16" s="164"/>
      <c r="M16" s="136">
        <f t="shared" si="7"/>
        <v>0</v>
      </c>
      <c r="N16" s="95"/>
      <c r="O16" s="18">
        <f t="shared" si="5"/>
        <v>0</v>
      </c>
      <c r="P16" s="269">
        <f t="shared" si="8"/>
        <v>0</v>
      </c>
      <c r="Q16" s="267"/>
      <c r="R16" s="21"/>
      <c r="S16" s="269">
        <f t="shared" si="9"/>
        <v>0</v>
      </c>
      <c r="T16" s="267"/>
      <c r="U16" s="21"/>
      <c r="V16" s="21">
        <f t="shared" si="6"/>
        <v>0</v>
      </c>
      <c r="W16" s="249" t="e">
        <f t="shared" si="1"/>
        <v>#DIV/0!</v>
      </c>
      <c r="X16" s="249" t="e">
        <f t="shared" si="2"/>
        <v>#DIV/0!</v>
      </c>
      <c r="Y16" s="12">
        <f t="shared" si="3"/>
        <v>0</v>
      </c>
      <c r="Z16" s="268"/>
      <c r="AA16" s="175"/>
      <c r="AB16" s="268"/>
      <c r="AC16" s="268"/>
      <c r="AD16" s="12">
        <f>O16*54/100</f>
        <v>0</v>
      </c>
      <c r="AE16" s="12"/>
      <c r="AF16" s="306"/>
    </row>
    <row r="17" spans="1:32" ht="15" x14ac:dyDescent="0.25">
      <c r="A17" s="301" t="s">
        <v>442</v>
      </c>
      <c r="B17" s="187">
        <v>6171</v>
      </c>
      <c r="C17" s="161">
        <v>5032</v>
      </c>
      <c r="D17" s="167">
        <v>190102</v>
      </c>
      <c r="E17" s="167"/>
      <c r="F17" s="163" t="s">
        <v>436</v>
      </c>
      <c r="G17" s="176">
        <v>98</v>
      </c>
      <c r="H17" s="176">
        <f>105+52</f>
        <v>157</v>
      </c>
      <c r="I17" s="174">
        <f>H17</f>
        <v>157</v>
      </c>
      <c r="J17" s="174">
        <v>54</v>
      </c>
      <c r="K17" s="174">
        <v>175</v>
      </c>
      <c r="L17" s="164"/>
      <c r="M17" s="137">
        <f t="shared" si="7"/>
        <v>0</v>
      </c>
      <c r="N17" s="95"/>
      <c r="O17" s="18">
        <f t="shared" si="5"/>
        <v>0</v>
      </c>
      <c r="P17" s="274">
        <f t="shared" si="8"/>
        <v>0</v>
      </c>
      <c r="Q17" s="273"/>
      <c r="R17" s="21"/>
      <c r="S17" s="274">
        <f t="shared" si="9"/>
        <v>0</v>
      </c>
      <c r="T17" s="273"/>
      <c r="U17" s="21"/>
      <c r="V17" s="21">
        <f t="shared" si="6"/>
        <v>0</v>
      </c>
      <c r="W17" s="249" t="e">
        <f t="shared" si="1"/>
        <v>#DIV/0!</v>
      </c>
      <c r="X17" s="249" t="e">
        <f t="shared" si="2"/>
        <v>#DIV/0!</v>
      </c>
      <c r="Y17" s="12">
        <f t="shared" si="3"/>
        <v>0</v>
      </c>
      <c r="Z17" s="268"/>
      <c r="AA17" s="194"/>
      <c r="AB17" s="268"/>
      <c r="AC17" s="268"/>
      <c r="AD17" s="12"/>
      <c r="AE17" s="12"/>
      <c r="AF17" s="306"/>
    </row>
    <row r="18" spans="1:32" ht="15" x14ac:dyDescent="0.25">
      <c r="A18" s="301" t="s">
        <v>442</v>
      </c>
      <c r="B18" s="187">
        <v>6171</v>
      </c>
      <c r="C18" s="161">
        <v>5038</v>
      </c>
      <c r="D18" s="167">
        <v>1901</v>
      </c>
      <c r="E18" s="167"/>
      <c r="F18" s="163" t="s">
        <v>246</v>
      </c>
      <c r="G18" s="176">
        <f>68+3</f>
        <v>71</v>
      </c>
      <c r="H18" s="176">
        <f>80+5+29</f>
        <v>114</v>
      </c>
      <c r="I18" s="174">
        <f>H18</f>
        <v>114</v>
      </c>
      <c r="J18" s="174">
        <v>23</v>
      </c>
      <c r="K18" s="174">
        <v>114</v>
      </c>
      <c r="L18" s="164"/>
      <c r="M18" s="130">
        <f t="shared" si="7"/>
        <v>0</v>
      </c>
      <c r="N18" s="126"/>
      <c r="O18" s="18">
        <f t="shared" si="5"/>
        <v>0</v>
      </c>
      <c r="P18" s="269">
        <f t="shared" si="8"/>
        <v>0</v>
      </c>
      <c r="Q18" s="267"/>
      <c r="R18" s="21"/>
      <c r="S18" s="269">
        <f t="shared" si="9"/>
        <v>0</v>
      </c>
      <c r="T18" s="267"/>
      <c r="U18" s="21"/>
      <c r="V18" s="21">
        <f t="shared" si="6"/>
        <v>0</v>
      </c>
      <c r="W18" s="249" t="e">
        <f t="shared" si="1"/>
        <v>#DIV/0!</v>
      </c>
      <c r="X18" s="249" t="e">
        <f t="shared" si="2"/>
        <v>#DIV/0!</v>
      </c>
      <c r="Y18" s="12">
        <f t="shared" si="3"/>
        <v>0</v>
      </c>
      <c r="Z18" s="268"/>
      <c r="AA18" s="175"/>
      <c r="AB18" s="268"/>
      <c r="AC18" s="268"/>
      <c r="AD18" s="12">
        <f>O18*54/100</f>
        <v>0</v>
      </c>
      <c r="AE18" s="12"/>
      <c r="AF18" s="306"/>
    </row>
    <row r="19" spans="1:32" ht="15" x14ac:dyDescent="0.25">
      <c r="A19" s="301" t="s">
        <v>352</v>
      </c>
      <c r="B19" s="166">
        <v>6171</v>
      </c>
      <c r="C19" s="162">
        <v>5134</v>
      </c>
      <c r="D19" s="167">
        <v>1901</v>
      </c>
      <c r="E19" s="167"/>
      <c r="F19" s="163" t="s">
        <v>48</v>
      </c>
      <c r="G19" s="163">
        <v>3</v>
      </c>
      <c r="H19" s="164">
        <v>3</v>
      </c>
      <c r="I19" s="168">
        <v>3</v>
      </c>
      <c r="J19" s="169">
        <v>2</v>
      </c>
      <c r="K19" s="169">
        <v>3</v>
      </c>
      <c r="L19" s="163"/>
      <c r="M19" s="121"/>
      <c r="N19" s="95"/>
      <c r="O19" s="18">
        <f t="shared" si="5"/>
        <v>0</v>
      </c>
      <c r="P19" s="275"/>
      <c r="Q19" s="21"/>
      <c r="R19" s="21"/>
      <c r="S19" s="21"/>
      <c r="T19" s="21"/>
      <c r="U19" s="21"/>
      <c r="V19" s="21">
        <f t="shared" si="6"/>
        <v>0</v>
      </c>
      <c r="W19" s="249" t="e">
        <f t="shared" si="1"/>
        <v>#DIV/0!</v>
      </c>
      <c r="X19" s="249" t="e">
        <f t="shared" si="2"/>
        <v>#DIV/0!</v>
      </c>
      <c r="Y19" s="12">
        <f t="shared" si="3"/>
        <v>0</v>
      </c>
      <c r="Z19" s="268"/>
      <c r="AA19" s="194"/>
      <c r="AB19" s="268"/>
      <c r="AC19" s="268"/>
      <c r="AD19" s="12"/>
      <c r="AE19" s="12"/>
      <c r="AF19" s="306"/>
    </row>
    <row r="20" spans="1:32" ht="15" x14ac:dyDescent="0.25">
      <c r="A20" s="301" t="s">
        <v>352</v>
      </c>
      <c r="B20" s="166">
        <v>6171</v>
      </c>
      <c r="C20" s="162">
        <v>5136</v>
      </c>
      <c r="D20" s="167">
        <v>190101</v>
      </c>
      <c r="E20" s="167"/>
      <c r="F20" s="163" t="s">
        <v>24</v>
      </c>
      <c r="G20" s="163">
        <v>94</v>
      </c>
      <c r="H20" s="164">
        <v>160</v>
      </c>
      <c r="I20" s="168">
        <v>160</v>
      </c>
      <c r="J20" s="169">
        <v>67</v>
      </c>
      <c r="K20" s="169">
        <v>160</v>
      </c>
      <c r="L20" s="163"/>
      <c r="M20" s="121"/>
      <c r="N20" s="95"/>
      <c r="O20" s="18">
        <f t="shared" si="5"/>
        <v>0</v>
      </c>
      <c r="P20" s="275"/>
      <c r="Q20" s="21"/>
      <c r="R20" s="21">
        <v>9</v>
      </c>
      <c r="S20" s="21"/>
      <c r="T20" s="21"/>
      <c r="U20" s="21">
        <f>1+1</f>
        <v>2</v>
      </c>
      <c r="V20" s="21">
        <f t="shared" si="6"/>
        <v>11</v>
      </c>
      <c r="W20" s="249" t="e">
        <f t="shared" si="1"/>
        <v>#DIV/0!</v>
      </c>
      <c r="X20" s="249" t="e">
        <f t="shared" si="2"/>
        <v>#DIV/0!</v>
      </c>
      <c r="Y20" s="12">
        <f t="shared" si="3"/>
        <v>-11</v>
      </c>
      <c r="Z20" s="268"/>
      <c r="AA20" s="175">
        <f>O20*54/100</f>
        <v>0</v>
      </c>
      <c r="AB20" s="268"/>
      <c r="AC20" s="268"/>
      <c r="AD20" s="12">
        <v>4</v>
      </c>
      <c r="AE20" s="12"/>
      <c r="AF20" s="306"/>
    </row>
    <row r="21" spans="1:32" ht="15" x14ac:dyDescent="0.25">
      <c r="A21" s="301" t="s">
        <v>352</v>
      </c>
      <c r="B21" s="166">
        <v>6171</v>
      </c>
      <c r="C21" s="162">
        <v>5136</v>
      </c>
      <c r="D21" s="167">
        <v>190102</v>
      </c>
      <c r="E21" s="167"/>
      <c r="F21" s="163" t="s">
        <v>416</v>
      </c>
      <c r="G21" s="163"/>
      <c r="H21" s="164"/>
      <c r="I21" s="168"/>
      <c r="J21" s="169"/>
      <c r="K21" s="169"/>
      <c r="L21" s="163"/>
      <c r="M21" s="121"/>
      <c r="N21" s="95"/>
      <c r="O21" s="18">
        <f t="shared" si="5"/>
        <v>0</v>
      </c>
      <c r="P21" s="275"/>
      <c r="Q21" s="21"/>
      <c r="R21" s="21"/>
      <c r="S21" s="21"/>
      <c r="T21" s="21"/>
      <c r="U21" s="21"/>
      <c r="V21" s="21">
        <f t="shared" si="6"/>
        <v>0</v>
      </c>
      <c r="W21" s="249" t="e">
        <f t="shared" si="1"/>
        <v>#DIV/0!</v>
      </c>
      <c r="X21" s="249" t="e">
        <f t="shared" si="2"/>
        <v>#DIV/0!</v>
      </c>
      <c r="Y21" s="12">
        <f t="shared" si="3"/>
        <v>0</v>
      </c>
      <c r="Z21" s="268"/>
      <c r="AA21" s="194"/>
      <c r="AB21" s="268"/>
      <c r="AC21" s="268"/>
      <c r="AD21" s="12"/>
      <c r="AE21" s="12"/>
      <c r="AF21" s="306"/>
    </row>
    <row r="22" spans="1:32" ht="15" x14ac:dyDescent="0.25">
      <c r="A22" s="301" t="s">
        <v>352</v>
      </c>
      <c r="B22" s="166">
        <v>6171</v>
      </c>
      <c r="C22" s="162">
        <v>5137</v>
      </c>
      <c r="D22" s="167">
        <v>190101</v>
      </c>
      <c r="E22" s="167"/>
      <c r="F22" s="163" t="s">
        <v>440</v>
      </c>
      <c r="G22" s="163">
        <v>19</v>
      </c>
      <c r="H22" s="164">
        <v>29</v>
      </c>
      <c r="I22" s="168">
        <v>29</v>
      </c>
      <c r="J22" s="169">
        <v>13</v>
      </c>
      <c r="K22" s="169">
        <v>29</v>
      </c>
      <c r="L22" s="163"/>
      <c r="M22" s="121"/>
      <c r="N22" s="95"/>
      <c r="O22" s="18">
        <f t="shared" si="5"/>
        <v>0</v>
      </c>
      <c r="P22" s="275"/>
      <c r="Q22" s="21"/>
      <c r="R22" s="21"/>
      <c r="S22" s="21"/>
      <c r="T22" s="21"/>
      <c r="U22" s="21"/>
      <c r="V22" s="21">
        <f t="shared" si="6"/>
        <v>0</v>
      </c>
      <c r="W22" s="249" t="e">
        <f t="shared" si="1"/>
        <v>#DIV/0!</v>
      </c>
      <c r="X22" s="249" t="e">
        <f t="shared" si="2"/>
        <v>#DIV/0!</v>
      </c>
      <c r="Y22" s="12">
        <f t="shared" si="3"/>
        <v>0</v>
      </c>
      <c r="Z22" s="268"/>
      <c r="AA22" s="175">
        <f>O22*54/100</f>
        <v>0</v>
      </c>
      <c r="AB22" s="268"/>
      <c r="AC22" s="268"/>
      <c r="AD22" s="12"/>
      <c r="AE22" s="12"/>
      <c r="AF22" s="306"/>
    </row>
    <row r="23" spans="1:32" ht="15" x14ac:dyDescent="0.25">
      <c r="A23" s="301" t="s">
        <v>352</v>
      </c>
      <c r="B23" s="166">
        <v>6171</v>
      </c>
      <c r="C23" s="162">
        <v>5137</v>
      </c>
      <c r="D23" s="167">
        <v>190102</v>
      </c>
      <c r="E23" s="167"/>
      <c r="F23" s="163" t="s">
        <v>424</v>
      </c>
      <c r="G23" s="163"/>
      <c r="H23" s="164">
        <v>0</v>
      </c>
      <c r="I23" s="165">
        <v>0</v>
      </c>
      <c r="J23" s="186">
        <v>0</v>
      </c>
      <c r="K23" s="186">
        <v>0</v>
      </c>
      <c r="L23" s="164"/>
      <c r="M23" s="157"/>
      <c r="N23" s="157"/>
      <c r="O23" s="18">
        <f t="shared" si="5"/>
        <v>0</v>
      </c>
      <c r="P23" s="276"/>
      <c r="Q23" s="21"/>
      <c r="R23" s="21"/>
      <c r="S23" s="21"/>
      <c r="T23" s="21"/>
      <c r="U23" s="21">
        <f>9</f>
        <v>9</v>
      </c>
      <c r="V23" s="21">
        <f t="shared" si="6"/>
        <v>9</v>
      </c>
      <c r="W23" s="249" t="e">
        <f t="shared" si="1"/>
        <v>#DIV/0!</v>
      </c>
      <c r="X23" s="249" t="e">
        <f t="shared" si="2"/>
        <v>#DIV/0!</v>
      </c>
      <c r="Y23" s="12">
        <f t="shared" si="3"/>
        <v>-9</v>
      </c>
      <c r="Z23" s="268"/>
      <c r="AA23" s="175"/>
      <c r="AB23" s="268"/>
      <c r="AC23" s="268"/>
      <c r="AD23" s="12"/>
      <c r="AE23" s="12"/>
      <c r="AF23" s="306"/>
    </row>
    <row r="24" spans="1:32" ht="15" x14ac:dyDescent="0.25">
      <c r="A24" s="301" t="s">
        <v>352</v>
      </c>
      <c r="B24" s="166">
        <v>6171</v>
      </c>
      <c r="C24" s="162">
        <v>5137</v>
      </c>
      <c r="D24" s="167">
        <v>190103</v>
      </c>
      <c r="E24" s="167"/>
      <c r="F24" s="163" t="s">
        <v>8</v>
      </c>
      <c r="G24" s="163"/>
      <c r="H24" s="164"/>
      <c r="I24" s="168"/>
      <c r="J24" s="169"/>
      <c r="K24" s="169"/>
      <c r="L24" s="163"/>
      <c r="M24" s="121"/>
      <c r="N24" s="95"/>
      <c r="O24" s="18">
        <f t="shared" si="5"/>
        <v>0</v>
      </c>
      <c r="P24" s="275"/>
      <c r="Q24" s="21"/>
      <c r="R24" s="21"/>
      <c r="S24" s="21"/>
      <c r="T24" s="21"/>
      <c r="U24" s="21"/>
      <c r="V24" s="21">
        <f t="shared" si="6"/>
        <v>0</v>
      </c>
      <c r="W24" s="249" t="e">
        <f t="shared" si="1"/>
        <v>#DIV/0!</v>
      </c>
      <c r="X24" s="249" t="e">
        <f t="shared" si="2"/>
        <v>#DIV/0!</v>
      </c>
      <c r="Y24" s="12">
        <f t="shared" si="3"/>
        <v>0</v>
      </c>
      <c r="Z24" s="268"/>
      <c r="AA24" s="175"/>
      <c r="AB24" s="268"/>
      <c r="AC24" s="268"/>
      <c r="AD24" s="12"/>
      <c r="AE24" s="12"/>
      <c r="AF24" s="306"/>
    </row>
    <row r="25" spans="1:32" ht="15" x14ac:dyDescent="0.25">
      <c r="A25" s="301" t="s">
        <v>352</v>
      </c>
      <c r="B25" s="166">
        <v>6171</v>
      </c>
      <c r="C25" s="162">
        <v>5139</v>
      </c>
      <c r="D25" s="167">
        <v>190101</v>
      </c>
      <c r="E25" s="167"/>
      <c r="F25" s="163" t="s">
        <v>288</v>
      </c>
      <c r="G25" s="163">
        <v>106</v>
      </c>
      <c r="H25" s="164">
        <v>160</v>
      </c>
      <c r="I25" s="168">
        <v>160</v>
      </c>
      <c r="J25" s="169">
        <v>93</v>
      </c>
      <c r="K25" s="169">
        <v>160</v>
      </c>
      <c r="L25" s="163"/>
      <c r="M25" s="121"/>
      <c r="N25" s="95"/>
      <c r="O25" s="18">
        <f t="shared" si="5"/>
        <v>0</v>
      </c>
      <c r="P25" s="275"/>
      <c r="Q25" s="21"/>
      <c r="R25" s="21"/>
      <c r="S25" s="21"/>
      <c r="T25" s="21"/>
      <c r="U25" s="21">
        <f>2+4+3+1+5+6</f>
        <v>21</v>
      </c>
      <c r="V25" s="21">
        <f t="shared" si="6"/>
        <v>21</v>
      </c>
      <c r="W25" s="249" t="e">
        <f t="shared" si="1"/>
        <v>#DIV/0!</v>
      </c>
      <c r="X25" s="249" t="e">
        <f t="shared" si="2"/>
        <v>#DIV/0!</v>
      </c>
      <c r="Y25" s="12">
        <f t="shared" si="3"/>
        <v>-21</v>
      </c>
      <c r="Z25" s="268"/>
      <c r="AA25" s="175"/>
      <c r="AB25" s="268"/>
      <c r="AC25" s="268"/>
      <c r="AD25" s="12">
        <f>O25*54/100</f>
        <v>0</v>
      </c>
      <c r="AE25" s="12"/>
      <c r="AF25" s="306"/>
    </row>
    <row r="26" spans="1:32" ht="15" x14ac:dyDescent="0.25">
      <c r="A26" s="301" t="s">
        <v>352</v>
      </c>
      <c r="B26" s="166">
        <v>6171</v>
      </c>
      <c r="C26" s="162">
        <v>5139</v>
      </c>
      <c r="D26" s="167">
        <v>190102</v>
      </c>
      <c r="E26" s="167"/>
      <c r="F26" s="163" t="s">
        <v>259</v>
      </c>
      <c r="G26" s="163">
        <v>134</v>
      </c>
      <c r="H26" s="164">
        <v>217</v>
      </c>
      <c r="I26" s="168">
        <v>217</v>
      </c>
      <c r="J26" s="169">
        <v>130</v>
      </c>
      <c r="K26" s="169">
        <v>217</v>
      </c>
      <c r="L26" s="163"/>
      <c r="M26" s="121"/>
      <c r="N26" s="95"/>
      <c r="O26" s="18">
        <f t="shared" si="5"/>
        <v>0</v>
      </c>
      <c r="P26" s="275"/>
      <c r="Q26" s="21"/>
      <c r="R26" s="21">
        <v>11</v>
      </c>
      <c r="S26" s="21"/>
      <c r="T26" s="21"/>
      <c r="U26" s="21">
        <f>1+8+5+7</f>
        <v>21</v>
      </c>
      <c r="V26" s="21">
        <f t="shared" si="6"/>
        <v>32</v>
      </c>
      <c r="W26" s="249" t="e">
        <f t="shared" si="1"/>
        <v>#DIV/0!</v>
      </c>
      <c r="X26" s="249" t="e">
        <f t="shared" si="2"/>
        <v>#DIV/0!</v>
      </c>
      <c r="Y26" s="12">
        <f t="shared" si="3"/>
        <v>-32</v>
      </c>
      <c r="Z26" s="268"/>
      <c r="AA26" s="175"/>
      <c r="AB26" s="268"/>
      <c r="AC26" s="268"/>
      <c r="AD26" s="12">
        <f>O26*54/100</f>
        <v>0</v>
      </c>
      <c r="AE26" s="12"/>
      <c r="AF26" s="306"/>
    </row>
    <row r="27" spans="1:32" ht="15" x14ac:dyDescent="0.25">
      <c r="A27" s="301" t="s">
        <v>352</v>
      </c>
      <c r="B27" s="166">
        <v>6171</v>
      </c>
      <c r="C27" s="162">
        <v>5139</v>
      </c>
      <c r="D27" s="167">
        <v>190103</v>
      </c>
      <c r="E27" s="167"/>
      <c r="F27" s="163" t="s">
        <v>351</v>
      </c>
      <c r="G27" s="163">
        <v>111</v>
      </c>
      <c r="H27" s="164">
        <v>218</v>
      </c>
      <c r="I27" s="168">
        <v>218</v>
      </c>
      <c r="J27" s="169">
        <v>35</v>
      </c>
      <c r="K27" s="169">
        <v>170</v>
      </c>
      <c r="L27" s="163"/>
      <c r="M27" s="121"/>
      <c r="N27" s="95"/>
      <c r="O27" s="18">
        <f t="shared" si="5"/>
        <v>0</v>
      </c>
      <c r="P27" s="275"/>
      <c r="Q27" s="21"/>
      <c r="R27" s="21">
        <v>1</v>
      </c>
      <c r="S27" s="21"/>
      <c r="T27" s="21"/>
      <c r="U27" s="21"/>
      <c r="V27" s="21">
        <f t="shared" si="6"/>
        <v>1</v>
      </c>
      <c r="W27" s="249" t="e">
        <f t="shared" si="1"/>
        <v>#DIV/0!</v>
      </c>
      <c r="X27" s="249" t="e">
        <f t="shared" si="2"/>
        <v>#DIV/0!</v>
      </c>
      <c r="Y27" s="12">
        <f t="shared" si="3"/>
        <v>-1</v>
      </c>
      <c r="Z27" s="268"/>
      <c r="AA27" s="175">
        <f>O27*54/100</f>
        <v>0</v>
      </c>
      <c r="AB27" s="268"/>
      <c r="AC27" s="268"/>
      <c r="AD27" s="12"/>
      <c r="AE27" s="12"/>
      <c r="AF27" s="306"/>
    </row>
    <row r="28" spans="1:32" ht="15" hidden="1" x14ac:dyDescent="0.25">
      <c r="A28" s="301" t="s">
        <v>352</v>
      </c>
      <c r="B28" s="166">
        <v>6171</v>
      </c>
      <c r="C28" s="162">
        <v>5139</v>
      </c>
      <c r="D28" s="167">
        <v>190104</v>
      </c>
      <c r="E28" s="167"/>
      <c r="F28" s="163" t="s">
        <v>127</v>
      </c>
      <c r="G28" s="163">
        <v>0</v>
      </c>
      <c r="H28" s="164">
        <v>20</v>
      </c>
      <c r="I28" s="168">
        <v>20</v>
      </c>
      <c r="J28" s="169">
        <v>0</v>
      </c>
      <c r="K28" s="169">
        <v>0</v>
      </c>
      <c r="L28" s="163">
        <v>0</v>
      </c>
      <c r="M28" s="121"/>
      <c r="N28" s="95"/>
      <c r="O28" s="275"/>
      <c r="P28" s="275"/>
      <c r="Q28" s="21"/>
      <c r="R28" s="21"/>
      <c r="S28" s="21"/>
      <c r="T28" s="21"/>
      <c r="U28" s="21"/>
      <c r="V28" s="21"/>
      <c r="W28" s="21"/>
      <c r="X28" s="21"/>
      <c r="Y28" s="21"/>
      <c r="Z28" s="268"/>
      <c r="AA28" s="194"/>
      <c r="AB28" s="268"/>
      <c r="AC28" s="268"/>
      <c r="AD28" s="12"/>
      <c r="AE28" s="12"/>
      <c r="AF28" s="306"/>
    </row>
    <row r="29" spans="1:32" ht="15" x14ac:dyDescent="0.25">
      <c r="A29" s="301" t="s">
        <v>352</v>
      </c>
      <c r="B29" s="166">
        <v>6171</v>
      </c>
      <c r="C29" s="162">
        <v>5139</v>
      </c>
      <c r="D29" s="167">
        <v>190105</v>
      </c>
      <c r="E29" s="167"/>
      <c r="F29" s="163" t="s">
        <v>417</v>
      </c>
      <c r="G29" s="163"/>
      <c r="H29" s="164"/>
      <c r="I29" s="168"/>
      <c r="J29" s="169"/>
      <c r="K29" s="169"/>
      <c r="L29" s="163"/>
      <c r="M29" s="128">
        <f>SUM(L19:L31)</f>
        <v>0</v>
      </c>
      <c r="N29" s="126"/>
      <c r="O29" s="18">
        <f>L29</f>
        <v>0</v>
      </c>
      <c r="P29" s="30">
        <f>SUM(O19:O31)</f>
        <v>0</v>
      </c>
      <c r="Q29" s="21"/>
      <c r="R29" s="21"/>
      <c r="S29" s="30">
        <f>SUM(R19:R31)</f>
        <v>21</v>
      </c>
      <c r="T29" s="21"/>
      <c r="U29" s="21"/>
      <c r="V29" s="21">
        <f>R29+U29</f>
        <v>0</v>
      </c>
      <c r="W29" s="249" t="e">
        <f>R29/O29</f>
        <v>#DIV/0!</v>
      </c>
      <c r="X29" s="249" t="e">
        <f>V29/O29</f>
        <v>#DIV/0!</v>
      </c>
      <c r="Y29" s="12">
        <f>O29-V29</f>
        <v>0</v>
      </c>
      <c r="Z29" s="268"/>
      <c r="AA29" s="194"/>
      <c r="AB29" s="268"/>
      <c r="AC29" s="268"/>
      <c r="AD29" s="12"/>
      <c r="AE29" s="12"/>
      <c r="AF29" s="306"/>
    </row>
    <row r="30" spans="1:32" ht="15" hidden="1" x14ac:dyDescent="0.25">
      <c r="A30" s="301" t="s">
        <v>352</v>
      </c>
      <c r="B30" s="166">
        <v>6171</v>
      </c>
      <c r="C30" s="162">
        <v>5139</v>
      </c>
      <c r="D30" s="167">
        <v>190106</v>
      </c>
      <c r="E30" s="167"/>
      <c r="F30" s="163" t="s">
        <v>325</v>
      </c>
      <c r="G30" s="163">
        <v>0</v>
      </c>
      <c r="H30" s="164">
        <v>10</v>
      </c>
      <c r="I30" s="168">
        <v>10</v>
      </c>
      <c r="J30" s="169">
        <v>0</v>
      </c>
      <c r="K30" s="169">
        <v>0</v>
      </c>
      <c r="L30" s="163">
        <v>0</v>
      </c>
      <c r="M30" s="121"/>
      <c r="N30" s="95"/>
      <c r="O30" s="275"/>
      <c r="P30" s="275"/>
      <c r="Q30" s="21"/>
      <c r="R30" s="21"/>
      <c r="S30" s="21"/>
      <c r="T30" s="21"/>
      <c r="U30" s="21"/>
      <c r="V30" s="21"/>
      <c r="W30" s="21"/>
      <c r="X30" s="21"/>
      <c r="Y30" s="21"/>
      <c r="Z30" s="268"/>
      <c r="AA30" s="194"/>
      <c r="AB30" s="268"/>
      <c r="AC30" s="268"/>
      <c r="AD30" s="12"/>
      <c r="AE30" s="12"/>
      <c r="AF30" s="306"/>
    </row>
    <row r="31" spans="1:32" ht="15" x14ac:dyDescent="0.25">
      <c r="A31" s="301" t="s">
        <v>352</v>
      </c>
      <c r="B31" s="171">
        <v>6171</v>
      </c>
      <c r="C31" s="171">
        <v>5139</v>
      </c>
      <c r="D31" s="170">
        <v>190106</v>
      </c>
      <c r="E31" s="169"/>
      <c r="F31" s="170" t="s">
        <v>286</v>
      </c>
      <c r="G31" s="163"/>
      <c r="H31" s="164"/>
      <c r="I31" s="168"/>
      <c r="J31" s="169"/>
      <c r="K31" s="169"/>
      <c r="L31" s="163"/>
      <c r="M31" s="121"/>
      <c r="N31" s="95"/>
      <c r="O31" s="18">
        <f t="shared" ref="O31:O50" si="10">L31</f>
        <v>0</v>
      </c>
      <c r="P31" s="275"/>
      <c r="Q31" s="21"/>
      <c r="R31" s="21"/>
      <c r="S31" s="21"/>
      <c r="T31" s="21"/>
      <c r="U31" s="21"/>
      <c r="V31" s="21">
        <f t="shared" ref="V31:V50" si="11">R31+U31</f>
        <v>0</v>
      </c>
      <c r="W31" s="249" t="e">
        <f t="shared" ref="W31:W48" si="12">R31/O31</f>
        <v>#DIV/0!</v>
      </c>
      <c r="X31" s="249" t="e">
        <f t="shared" ref="X31:X48" si="13">V31/O31</f>
        <v>#DIV/0!</v>
      </c>
      <c r="Y31" s="12">
        <f t="shared" ref="Y31:Y50" si="14">O31-V31</f>
        <v>0</v>
      </c>
      <c r="Z31" s="268"/>
      <c r="AA31" s="194"/>
      <c r="AB31" s="268"/>
      <c r="AC31" s="268"/>
      <c r="AD31" s="12"/>
      <c r="AE31" s="12"/>
      <c r="AF31" s="306"/>
    </row>
    <row r="32" spans="1:32" ht="15" x14ac:dyDescent="0.25">
      <c r="A32" s="301" t="s">
        <v>352</v>
      </c>
      <c r="B32" s="166">
        <v>6171</v>
      </c>
      <c r="C32" s="162">
        <v>5151</v>
      </c>
      <c r="D32" s="167">
        <v>1901</v>
      </c>
      <c r="E32" s="167"/>
      <c r="F32" s="163" t="s">
        <v>260</v>
      </c>
      <c r="G32" s="163">
        <v>28</v>
      </c>
      <c r="H32" s="164">
        <v>65</v>
      </c>
      <c r="I32" s="168">
        <v>65</v>
      </c>
      <c r="J32" s="169">
        <v>7</v>
      </c>
      <c r="K32" s="169">
        <v>60</v>
      </c>
      <c r="L32" s="163"/>
      <c r="M32" s="121"/>
      <c r="N32" s="95"/>
      <c r="O32" s="18">
        <f t="shared" si="10"/>
        <v>0</v>
      </c>
      <c r="P32" s="275"/>
      <c r="Q32" s="21"/>
      <c r="R32" s="21"/>
      <c r="S32" s="21"/>
      <c r="T32" s="21"/>
      <c r="U32" s="21">
        <f>8</f>
        <v>8</v>
      </c>
      <c r="V32" s="21">
        <f t="shared" si="11"/>
        <v>8</v>
      </c>
      <c r="W32" s="249" t="e">
        <f t="shared" si="12"/>
        <v>#DIV/0!</v>
      </c>
      <c r="X32" s="249" t="e">
        <f t="shared" si="13"/>
        <v>#DIV/0!</v>
      </c>
      <c r="Y32" s="12">
        <f t="shared" si="14"/>
        <v>-8</v>
      </c>
      <c r="Z32" s="268"/>
      <c r="AA32" s="175">
        <f>O32*54/100</f>
        <v>0</v>
      </c>
      <c r="AB32" s="268"/>
      <c r="AC32" s="268"/>
      <c r="AD32" s="12"/>
      <c r="AE32" s="12"/>
      <c r="AF32" s="306"/>
    </row>
    <row r="33" spans="1:32" ht="15" x14ac:dyDescent="0.25">
      <c r="A33" s="301" t="s">
        <v>352</v>
      </c>
      <c r="B33" s="166">
        <v>6171</v>
      </c>
      <c r="C33" s="162">
        <v>5152</v>
      </c>
      <c r="D33" s="167">
        <v>1901</v>
      </c>
      <c r="E33" s="167"/>
      <c r="F33" s="163" t="s">
        <v>261</v>
      </c>
      <c r="G33" s="163">
        <v>354</v>
      </c>
      <c r="H33" s="164">
        <v>550</v>
      </c>
      <c r="I33" s="168">
        <v>550</v>
      </c>
      <c r="J33" s="169">
        <v>322</v>
      </c>
      <c r="K33" s="169">
        <v>550</v>
      </c>
      <c r="L33" s="163"/>
      <c r="M33" s="121"/>
      <c r="N33" s="95"/>
      <c r="O33" s="18">
        <f t="shared" si="10"/>
        <v>0</v>
      </c>
      <c r="P33" s="275"/>
      <c r="Q33" s="21"/>
      <c r="R33" s="21">
        <v>32</v>
      </c>
      <c r="S33" s="21"/>
      <c r="T33" s="21"/>
      <c r="U33" s="21">
        <f>24+9</f>
        <v>33</v>
      </c>
      <c r="V33" s="21">
        <f t="shared" si="11"/>
        <v>65</v>
      </c>
      <c r="W33" s="249" t="e">
        <f t="shared" si="12"/>
        <v>#DIV/0!</v>
      </c>
      <c r="X33" s="249" t="e">
        <f t="shared" si="13"/>
        <v>#DIV/0!</v>
      </c>
      <c r="Y33" s="12">
        <f t="shared" si="14"/>
        <v>-65</v>
      </c>
      <c r="Z33" s="268"/>
      <c r="AA33" s="175">
        <f>O33*54/100</f>
        <v>0</v>
      </c>
      <c r="AB33" s="268"/>
      <c r="AC33" s="268"/>
      <c r="AD33" s="12"/>
      <c r="AE33" s="12"/>
      <c r="AF33" s="306"/>
    </row>
    <row r="34" spans="1:32" ht="15" x14ac:dyDescent="0.25">
      <c r="A34" s="301" t="s">
        <v>442</v>
      </c>
      <c r="B34" s="166">
        <v>6171</v>
      </c>
      <c r="C34" s="162">
        <v>5154</v>
      </c>
      <c r="D34" s="167">
        <v>1913</v>
      </c>
      <c r="E34" s="167">
        <v>1913</v>
      </c>
      <c r="F34" s="163" t="s">
        <v>375</v>
      </c>
      <c r="G34" s="176">
        <v>4</v>
      </c>
      <c r="H34" s="176">
        <v>8</v>
      </c>
      <c r="I34" s="174">
        <f>H34</f>
        <v>8</v>
      </c>
      <c r="J34" s="174">
        <v>3</v>
      </c>
      <c r="K34" s="174">
        <v>8</v>
      </c>
      <c r="L34" s="164"/>
      <c r="M34" s="138"/>
      <c r="N34" s="221"/>
      <c r="O34" s="18">
        <f t="shared" si="10"/>
        <v>0</v>
      </c>
      <c r="P34" s="277"/>
      <c r="Q34" s="278"/>
      <c r="R34" s="21">
        <v>1</v>
      </c>
      <c r="S34" s="278"/>
      <c r="T34" s="278"/>
      <c r="U34" s="21"/>
      <c r="V34" s="21">
        <f t="shared" si="11"/>
        <v>1</v>
      </c>
      <c r="W34" s="249" t="e">
        <f t="shared" si="12"/>
        <v>#DIV/0!</v>
      </c>
      <c r="X34" s="249" t="e">
        <f t="shared" si="13"/>
        <v>#DIV/0!</v>
      </c>
      <c r="Y34" s="12">
        <f t="shared" si="14"/>
        <v>-1</v>
      </c>
      <c r="Z34" s="268"/>
      <c r="AA34" s="194"/>
      <c r="AB34" s="268"/>
      <c r="AC34" s="268"/>
      <c r="AD34" s="12"/>
      <c r="AE34" s="12"/>
      <c r="AF34" s="306"/>
    </row>
    <row r="35" spans="1:32" ht="15" x14ac:dyDescent="0.25">
      <c r="A35" s="301" t="s">
        <v>352</v>
      </c>
      <c r="B35" s="166">
        <v>6171</v>
      </c>
      <c r="C35" s="162">
        <v>5154</v>
      </c>
      <c r="D35" s="167">
        <v>1901</v>
      </c>
      <c r="E35" s="167"/>
      <c r="F35" s="163" t="s">
        <v>136</v>
      </c>
      <c r="G35" s="163">
        <v>223</v>
      </c>
      <c r="H35" s="164">
        <v>435</v>
      </c>
      <c r="I35" s="168">
        <v>435</v>
      </c>
      <c r="J35" s="169">
        <v>146</v>
      </c>
      <c r="K35" s="169">
        <v>400</v>
      </c>
      <c r="L35" s="163"/>
      <c r="M35" s="127">
        <f>SUM(L32,L33,L35)</f>
        <v>0</v>
      </c>
      <c r="N35" s="126"/>
      <c r="O35" s="18">
        <f t="shared" si="10"/>
        <v>0</v>
      </c>
      <c r="P35" s="18">
        <f>SUM(O32,O33,O35)</f>
        <v>0</v>
      </c>
      <c r="Q35" s="21"/>
      <c r="R35" s="21">
        <v>55</v>
      </c>
      <c r="S35" s="18">
        <f>SUM(R32,R33,R35)</f>
        <v>87</v>
      </c>
      <c r="T35" s="21"/>
      <c r="U35" s="21"/>
      <c r="V35" s="21">
        <f t="shared" si="11"/>
        <v>55</v>
      </c>
      <c r="W35" s="249" t="e">
        <f t="shared" si="12"/>
        <v>#DIV/0!</v>
      </c>
      <c r="X35" s="249" t="e">
        <f t="shared" si="13"/>
        <v>#DIV/0!</v>
      </c>
      <c r="Y35" s="12">
        <f t="shared" si="14"/>
        <v>-55</v>
      </c>
      <c r="Z35" s="268"/>
      <c r="AA35" s="175">
        <f>O35*54/100</f>
        <v>0</v>
      </c>
      <c r="AB35" s="268"/>
      <c r="AC35" s="268"/>
      <c r="AD35" s="12"/>
      <c r="AE35" s="12"/>
      <c r="AF35" s="306"/>
    </row>
    <row r="36" spans="1:32" ht="15" x14ac:dyDescent="0.25">
      <c r="A36" s="302" t="s">
        <v>413</v>
      </c>
      <c r="B36" s="187">
        <v>6171</v>
      </c>
      <c r="C36" s="161">
        <v>5156</v>
      </c>
      <c r="D36" s="167">
        <v>1901</v>
      </c>
      <c r="E36" s="167"/>
      <c r="F36" s="163" t="s">
        <v>271</v>
      </c>
      <c r="G36" s="163">
        <v>173</v>
      </c>
      <c r="H36" s="164">
        <v>333</v>
      </c>
      <c r="I36" s="168">
        <v>333</v>
      </c>
      <c r="J36" s="169">
        <v>69</v>
      </c>
      <c r="K36" s="169">
        <v>333</v>
      </c>
      <c r="L36" s="163"/>
      <c r="M36" s="139"/>
      <c r="N36" s="222"/>
      <c r="O36" s="18">
        <f t="shared" si="10"/>
        <v>0</v>
      </c>
      <c r="P36" s="279"/>
      <c r="Q36" s="280"/>
      <c r="R36" s="21"/>
      <c r="S36" s="280"/>
      <c r="T36" s="280"/>
      <c r="U36" s="21"/>
      <c r="V36" s="21">
        <f t="shared" si="11"/>
        <v>0</v>
      </c>
      <c r="W36" s="249" t="e">
        <f t="shared" si="12"/>
        <v>#DIV/0!</v>
      </c>
      <c r="X36" s="249" t="e">
        <f t="shared" si="13"/>
        <v>#DIV/0!</v>
      </c>
      <c r="Y36" s="12">
        <f t="shared" si="14"/>
        <v>0</v>
      </c>
      <c r="Z36" s="268"/>
      <c r="AA36" s="175">
        <f>O36*54/100</f>
        <v>0</v>
      </c>
      <c r="AB36" s="268"/>
      <c r="AC36" s="268"/>
      <c r="AD36" s="12"/>
      <c r="AE36" s="12"/>
      <c r="AF36" s="306"/>
    </row>
    <row r="37" spans="1:32" ht="15" x14ac:dyDescent="0.25">
      <c r="A37" s="301" t="s">
        <v>352</v>
      </c>
      <c r="B37" s="166">
        <v>6171</v>
      </c>
      <c r="C37" s="162">
        <v>5161</v>
      </c>
      <c r="D37" s="167">
        <v>1901</v>
      </c>
      <c r="E37" s="167"/>
      <c r="F37" s="163" t="s">
        <v>204</v>
      </c>
      <c r="G37" s="163">
        <v>700</v>
      </c>
      <c r="H37" s="164">
        <v>1014</v>
      </c>
      <c r="I37" s="168">
        <v>1014</v>
      </c>
      <c r="J37" s="169">
        <v>551</v>
      </c>
      <c r="K37" s="168">
        <v>1041</v>
      </c>
      <c r="L37" s="164"/>
      <c r="M37" s="121"/>
      <c r="N37" s="95"/>
      <c r="O37" s="18">
        <f t="shared" si="10"/>
        <v>0</v>
      </c>
      <c r="P37" s="275"/>
      <c r="Q37" s="21"/>
      <c r="R37" s="21">
        <v>127</v>
      </c>
      <c r="S37" s="21"/>
      <c r="T37" s="21"/>
      <c r="U37" s="21">
        <f>1+1+23</f>
        <v>25</v>
      </c>
      <c r="V37" s="21">
        <f t="shared" si="11"/>
        <v>152</v>
      </c>
      <c r="W37" s="249" t="e">
        <f t="shared" si="12"/>
        <v>#DIV/0!</v>
      </c>
      <c r="X37" s="249" t="e">
        <f t="shared" si="13"/>
        <v>#DIV/0!</v>
      </c>
      <c r="Y37" s="12">
        <f t="shared" si="14"/>
        <v>-152</v>
      </c>
      <c r="Z37" s="268"/>
      <c r="AA37" s="175">
        <f>O37*54/100</f>
        <v>0</v>
      </c>
      <c r="AB37" s="268"/>
      <c r="AC37" s="268"/>
      <c r="AD37" s="12"/>
      <c r="AE37" s="12"/>
      <c r="AF37" s="306"/>
    </row>
    <row r="38" spans="1:32" ht="15" x14ac:dyDescent="0.25">
      <c r="A38" s="301" t="s">
        <v>352</v>
      </c>
      <c r="B38" s="166">
        <v>6171</v>
      </c>
      <c r="C38" s="162">
        <v>5162</v>
      </c>
      <c r="D38" s="167">
        <v>190101</v>
      </c>
      <c r="E38" s="167"/>
      <c r="F38" s="163" t="s">
        <v>287</v>
      </c>
      <c r="G38" s="163">
        <v>402</v>
      </c>
      <c r="H38" s="164">
        <v>645</v>
      </c>
      <c r="I38" s="165">
        <v>645</v>
      </c>
      <c r="J38" s="186">
        <v>307</v>
      </c>
      <c r="K38" s="186">
        <v>645</v>
      </c>
      <c r="L38" s="163"/>
      <c r="M38" s="132"/>
      <c r="N38" s="36"/>
      <c r="O38" s="18">
        <f t="shared" si="10"/>
        <v>0</v>
      </c>
      <c r="P38" s="281"/>
      <c r="Q38" s="21"/>
      <c r="R38" s="21">
        <v>35</v>
      </c>
      <c r="S38" s="21"/>
      <c r="T38" s="21"/>
      <c r="U38" s="21">
        <f>1+0+4+18</f>
        <v>23</v>
      </c>
      <c r="V38" s="21">
        <f t="shared" si="11"/>
        <v>58</v>
      </c>
      <c r="W38" s="249" t="e">
        <f t="shared" si="12"/>
        <v>#DIV/0!</v>
      </c>
      <c r="X38" s="249" t="e">
        <f t="shared" si="13"/>
        <v>#DIV/0!</v>
      </c>
      <c r="Y38" s="12">
        <f t="shared" si="14"/>
        <v>-58</v>
      </c>
      <c r="Z38" s="268"/>
      <c r="AA38" s="175">
        <f>O38*54/100-8</f>
        <v>-8</v>
      </c>
      <c r="AB38" s="268"/>
      <c r="AC38" s="268"/>
      <c r="AD38" s="12"/>
      <c r="AE38" s="12"/>
      <c r="AF38" s="306"/>
    </row>
    <row r="39" spans="1:32" ht="15" x14ac:dyDescent="0.25">
      <c r="A39" s="301" t="s">
        <v>352</v>
      </c>
      <c r="B39" s="166">
        <v>6171</v>
      </c>
      <c r="C39" s="162">
        <v>5162</v>
      </c>
      <c r="D39" s="167">
        <v>190102</v>
      </c>
      <c r="E39" s="167"/>
      <c r="F39" s="163" t="s">
        <v>112</v>
      </c>
      <c r="G39" s="163">
        <v>3</v>
      </c>
      <c r="H39" s="164">
        <v>5</v>
      </c>
      <c r="I39" s="168">
        <v>5</v>
      </c>
      <c r="J39" s="169">
        <v>1</v>
      </c>
      <c r="K39" s="169">
        <v>3</v>
      </c>
      <c r="L39" s="163"/>
      <c r="M39" s="121"/>
      <c r="N39" s="95"/>
      <c r="O39" s="18">
        <f t="shared" si="10"/>
        <v>0</v>
      </c>
      <c r="P39" s="275"/>
      <c r="Q39" s="21"/>
      <c r="R39" s="21"/>
      <c r="S39" s="21"/>
      <c r="T39" s="21"/>
      <c r="U39" s="21"/>
      <c r="V39" s="21">
        <f t="shared" si="11"/>
        <v>0</v>
      </c>
      <c r="W39" s="249" t="e">
        <f t="shared" si="12"/>
        <v>#DIV/0!</v>
      </c>
      <c r="X39" s="249" t="e">
        <f t="shared" si="13"/>
        <v>#DIV/0!</v>
      </c>
      <c r="Y39" s="12">
        <f t="shared" si="14"/>
        <v>0</v>
      </c>
      <c r="Z39" s="268"/>
      <c r="AA39" s="175"/>
      <c r="AB39" s="268"/>
      <c r="AC39" s="268"/>
      <c r="AD39" s="12"/>
      <c r="AE39" s="12"/>
      <c r="AF39" s="306"/>
    </row>
    <row r="40" spans="1:32" ht="15" x14ac:dyDescent="0.25">
      <c r="A40" s="302" t="s">
        <v>413</v>
      </c>
      <c r="B40" s="187">
        <v>6171</v>
      </c>
      <c r="C40" s="161">
        <v>5163</v>
      </c>
      <c r="D40" s="167">
        <v>190101</v>
      </c>
      <c r="E40" s="167"/>
      <c r="F40" s="163" t="s">
        <v>438</v>
      </c>
      <c r="G40" s="163">
        <v>38</v>
      </c>
      <c r="H40" s="164">
        <v>72</v>
      </c>
      <c r="I40" s="168">
        <v>72</v>
      </c>
      <c r="J40" s="169">
        <v>32</v>
      </c>
      <c r="K40" s="169">
        <v>70</v>
      </c>
      <c r="L40" s="163"/>
      <c r="M40" s="140"/>
      <c r="N40" s="223"/>
      <c r="O40" s="18">
        <f t="shared" si="10"/>
        <v>0</v>
      </c>
      <c r="P40" s="279"/>
      <c r="Q40" s="280"/>
      <c r="R40" s="21"/>
      <c r="S40" s="280"/>
      <c r="T40" s="280"/>
      <c r="U40" s="21"/>
      <c r="V40" s="21">
        <f t="shared" si="11"/>
        <v>0</v>
      </c>
      <c r="W40" s="249" t="e">
        <f t="shared" si="12"/>
        <v>#DIV/0!</v>
      </c>
      <c r="X40" s="249" t="e">
        <f t="shared" si="13"/>
        <v>#DIV/0!</v>
      </c>
      <c r="Y40" s="12">
        <f t="shared" si="14"/>
        <v>0</v>
      </c>
      <c r="Z40" s="268"/>
      <c r="AA40" s="175"/>
      <c r="AB40" s="268"/>
      <c r="AC40" s="268"/>
      <c r="AD40" s="12"/>
      <c r="AE40" s="12"/>
      <c r="AF40" s="306"/>
    </row>
    <row r="41" spans="1:32" ht="15" x14ac:dyDescent="0.25">
      <c r="A41" s="301" t="s">
        <v>352</v>
      </c>
      <c r="B41" s="166">
        <v>6171</v>
      </c>
      <c r="C41" s="162">
        <v>5164</v>
      </c>
      <c r="D41" s="167">
        <v>1901</v>
      </c>
      <c r="E41" s="167"/>
      <c r="F41" s="163" t="s">
        <v>267</v>
      </c>
      <c r="G41" s="163">
        <v>18</v>
      </c>
      <c r="H41" s="164">
        <v>20</v>
      </c>
      <c r="I41" s="168">
        <v>20</v>
      </c>
      <c r="J41" s="169">
        <v>9</v>
      </c>
      <c r="K41" s="169">
        <v>18</v>
      </c>
      <c r="L41" s="163"/>
      <c r="M41" s="121"/>
      <c r="N41" s="95"/>
      <c r="O41" s="18">
        <f t="shared" si="10"/>
        <v>0</v>
      </c>
      <c r="P41" s="275"/>
      <c r="Q41" s="21"/>
      <c r="R41" s="21"/>
      <c r="S41" s="21"/>
      <c r="T41" s="21"/>
      <c r="U41" s="21"/>
      <c r="V41" s="21">
        <f t="shared" si="11"/>
        <v>0</v>
      </c>
      <c r="W41" s="249" t="e">
        <f t="shared" si="12"/>
        <v>#DIV/0!</v>
      </c>
      <c r="X41" s="249" t="e">
        <f t="shared" si="13"/>
        <v>#DIV/0!</v>
      </c>
      <c r="Y41" s="12">
        <f t="shared" si="14"/>
        <v>0</v>
      </c>
      <c r="Z41" s="268"/>
      <c r="AA41" s="194"/>
      <c r="AB41" s="268"/>
      <c r="AC41" s="268"/>
      <c r="AD41" s="12"/>
      <c r="AE41" s="12"/>
      <c r="AF41" s="306"/>
    </row>
    <row r="42" spans="1:32" ht="15" x14ac:dyDescent="0.25">
      <c r="A42" s="301" t="s">
        <v>293</v>
      </c>
      <c r="B42" s="166">
        <v>6171</v>
      </c>
      <c r="C42" s="162">
        <v>5166</v>
      </c>
      <c r="D42" s="167">
        <v>190101</v>
      </c>
      <c r="E42" s="167"/>
      <c r="F42" s="163" t="s">
        <v>185</v>
      </c>
      <c r="G42" s="164">
        <v>1380</v>
      </c>
      <c r="H42" s="164">
        <v>1400</v>
      </c>
      <c r="I42" s="164">
        <f>H42</f>
        <v>1400</v>
      </c>
      <c r="J42" s="164">
        <v>743</v>
      </c>
      <c r="K42" s="164">
        <v>1400</v>
      </c>
      <c r="L42" s="164"/>
      <c r="M42" s="157"/>
      <c r="N42" s="157"/>
      <c r="O42" s="18">
        <f t="shared" si="10"/>
        <v>0</v>
      </c>
      <c r="P42" s="276"/>
      <c r="Q42" s="21"/>
      <c r="R42" s="21">
        <v>61</v>
      </c>
      <c r="S42" s="21"/>
      <c r="T42" s="21"/>
      <c r="U42" s="21">
        <f>28+3+3+15+2+33</f>
        <v>84</v>
      </c>
      <c r="V42" s="21">
        <f t="shared" si="11"/>
        <v>145</v>
      </c>
      <c r="W42" s="249" t="e">
        <f t="shared" si="12"/>
        <v>#DIV/0!</v>
      </c>
      <c r="X42" s="249" t="e">
        <f t="shared" si="13"/>
        <v>#DIV/0!</v>
      </c>
      <c r="Y42" s="12">
        <f t="shared" si="14"/>
        <v>-145</v>
      </c>
      <c r="Z42" s="268"/>
      <c r="AA42" s="175">
        <f>O42*54/100</f>
        <v>0</v>
      </c>
      <c r="AB42" s="268"/>
      <c r="AC42" s="268"/>
      <c r="AD42" s="12"/>
      <c r="AE42" s="12"/>
      <c r="AF42" s="306"/>
    </row>
    <row r="43" spans="1:32" ht="15" x14ac:dyDescent="0.25">
      <c r="A43" s="301" t="s">
        <v>293</v>
      </c>
      <c r="B43" s="166">
        <v>6171</v>
      </c>
      <c r="C43" s="162">
        <v>5166</v>
      </c>
      <c r="D43" s="167">
        <v>190102</v>
      </c>
      <c r="E43" s="167"/>
      <c r="F43" s="163" t="s">
        <v>123</v>
      </c>
      <c r="G43" s="164">
        <v>5</v>
      </c>
      <c r="H43" s="164">
        <v>20</v>
      </c>
      <c r="I43" s="164">
        <f>H43</f>
        <v>20</v>
      </c>
      <c r="J43" s="164">
        <v>2</v>
      </c>
      <c r="K43" s="164">
        <v>5</v>
      </c>
      <c r="L43" s="164"/>
      <c r="M43" s="158"/>
      <c r="N43" s="156"/>
      <c r="O43" s="18">
        <f t="shared" si="10"/>
        <v>0</v>
      </c>
      <c r="P43" s="276"/>
      <c r="Q43" s="21"/>
      <c r="R43" s="21">
        <v>2</v>
      </c>
      <c r="S43" s="21"/>
      <c r="T43" s="21"/>
      <c r="U43" s="21"/>
      <c r="V43" s="21">
        <f t="shared" si="11"/>
        <v>2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</v>
      </c>
      <c r="Z43" s="268"/>
      <c r="AA43" s="194"/>
      <c r="AB43" s="268"/>
      <c r="AC43" s="268"/>
      <c r="AD43" s="12"/>
      <c r="AE43" s="12"/>
      <c r="AF43" s="306"/>
    </row>
    <row r="44" spans="1:32" ht="15" x14ac:dyDescent="0.25">
      <c r="A44" s="301" t="s">
        <v>159</v>
      </c>
      <c r="B44" s="166">
        <v>6171</v>
      </c>
      <c r="C44" s="162">
        <v>5166</v>
      </c>
      <c r="D44" s="167">
        <v>190103</v>
      </c>
      <c r="E44" s="167"/>
      <c r="F44" s="163" t="s">
        <v>270</v>
      </c>
      <c r="G44" s="164">
        <v>0</v>
      </c>
      <c r="H44" s="164">
        <v>0</v>
      </c>
      <c r="I44" s="165">
        <v>50</v>
      </c>
      <c r="J44" s="186">
        <v>3</v>
      </c>
      <c r="K44" s="186">
        <v>50</v>
      </c>
      <c r="L44" s="163"/>
      <c r="M44" s="158"/>
      <c r="N44" s="156"/>
      <c r="O44" s="18">
        <f t="shared" si="10"/>
        <v>0</v>
      </c>
      <c r="P44" s="276"/>
      <c r="Q44" s="21"/>
      <c r="R44" s="21"/>
      <c r="S44" s="21"/>
      <c r="T44" s="21"/>
      <c r="U44" s="21"/>
      <c r="V44" s="21">
        <f t="shared" si="11"/>
        <v>0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0</v>
      </c>
      <c r="Z44" s="268"/>
      <c r="AA44" s="194"/>
      <c r="AB44" s="268"/>
      <c r="AC44" s="268"/>
      <c r="AD44" s="12"/>
      <c r="AE44" s="12"/>
      <c r="AF44" s="306"/>
    </row>
    <row r="45" spans="1:32" ht="15" x14ac:dyDescent="0.25">
      <c r="A45" s="302" t="s">
        <v>265</v>
      </c>
      <c r="B45" s="161">
        <v>6171</v>
      </c>
      <c r="C45" s="161">
        <v>5166</v>
      </c>
      <c r="D45" s="163">
        <v>190104</v>
      </c>
      <c r="E45" s="163"/>
      <c r="F45" s="163" t="s">
        <v>469</v>
      </c>
      <c r="G45" s="164">
        <v>97</v>
      </c>
      <c r="H45" s="164">
        <v>113</v>
      </c>
      <c r="I45" s="165">
        <v>113</v>
      </c>
      <c r="J45" s="186">
        <v>67</v>
      </c>
      <c r="K45" s="165">
        <v>113</v>
      </c>
      <c r="L45" s="164"/>
      <c r="M45" s="132"/>
      <c r="N45" s="36"/>
      <c r="O45" s="18">
        <f t="shared" si="10"/>
        <v>0</v>
      </c>
      <c r="P45" s="14"/>
      <c r="Q45" s="21"/>
      <c r="R45" s="21"/>
      <c r="S45" s="21"/>
      <c r="T45" s="21"/>
      <c r="U45" s="21">
        <f>25</f>
        <v>25</v>
      </c>
      <c r="V45" s="21">
        <f t="shared" si="11"/>
        <v>25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-25</v>
      </c>
      <c r="Z45" s="268"/>
      <c r="AA45" s="194"/>
      <c r="AB45" s="268"/>
      <c r="AC45" s="268"/>
      <c r="AD45" s="12"/>
      <c r="AE45" s="12"/>
      <c r="AF45" s="306"/>
    </row>
    <row r="46" spans="1:32" ht="15" x14ac:dyDescent="0.25">
      <c r="A46" s="301" t="s">
        <v>442</v>
      </c>
      <c r="B46" s="187">
        <v>6171</v>
      </c>
      <c r="C46" s="161">
        <v>5167</v>
      </c>
      <c r="D46" s="167">
        <v>1901</v>
      </c>
      <c r="E46" s="167"/>
      <c r="F46" s="163" t="s">
        <v>376</v>
      </c>
      <c r="G46" s="164">
        <v>195</v>
      </c>
      <c r="H46" s="164">
        <f>200+90</f>
        <v>290</v>
      </c>
      <c r="I46" s="175">
        <f>H46</f>
        <v>290</v>
      </c>
      <c r="J46" s="175">
        <v>123</v>
      </c>
      <c r="K46" s="175">
        <v>290</v>
      </c>
      <c r="L46" s="175"/>
      <c r="M46" s="121"/>
      <c r="N46" s="95"/>
      <c r="O46" s="18">
        <f t="shared" si="10"/>
        <v>0</v>
      </c>
      <c r="P46" s="275"/>
      <c r="Q46" s="21"/>
      <c r="R46" s="21">
        <v>25</v>
      </c>
      <c r="S46" s="21"/>
      <c r="T46" s="21"/>
      <c r="U46" s="21">
        <f>1+1+6+1+3+4+7+7+10</f>
        <v>40</v>
      </c>
      <c r="V46" s="21">
        <f t="shared" si="11"/>
        <v>65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-65</v>
      </c>
      <c r="Z46" s="268"/>
      <c r="AA46" s="175">
        <f>O46*54/100</f>
        <v>0</v>
      </c>
      <c r="AB46" s="268"/>
      <c r="AC46" s="268"/>
      <c r="AD46" s="12"/>
      <c r="AE46" s="12"/>
      <c r="AF46" s="306"/>
    </row>
    <row r="47" spans="1:32" ht="15" x14ac:dyDescent="0.25">
      <c r="A47" s="301" t="s">
        <v>442</v>
      </c>
      <c r="B47" s="187">
        <v>6171</v>
      </c>
      <c r="C47" s="161">
        <v>5169</v>
      </c>
      <c r="D47" s="167">
        <v>1913</v>
      </c>
      <c r="E47" s="167">
        <v>1913</v>
      </c>
      <c r="F47" s="163" t="s">
        <v>196</v>
      </c>
      <c r="G47" s="164">
        <v>68</v>
      </c>
      <c r="H47" s="164">
        <f>68+42</f>
        <v>110</v>
      </c>
      <c r="I47" s="175">
        <f>H47</f>
        <v>110</v>
      </c>
      <c r="J47" s="175">
        <v>56</v>
      </c>
      <c r="K47" s="175">
        <v>110</v>
      </c>
      <c r="L47" s="175"/>
      <c r="M47" s="138"/>
      <c r="N47" s="221"/>
      <c r="O47" s="18">
        <f t="shared" si="10"/>
        <v>0</v>
      </c>
      <c r="P47" s="277"/>
      <c r="Q47" s="278"/>
      <c r="R47" s="21">
        <v>7</v>
      </c>
      <c r="S47" s="278"/>
      <c r="T47" s="278"/>
      <c r="U47" s="21">
        <f>8</f>
        <v>8</v>
      </c>
      <c r="V47" s="21">
        <f t="shared" si="11"/>
        <v>15</v>
      </c>
      <c r="W47" s="249" t="e">
        <f t="shared" si="12"/>
        <v>#DIV/0!</v>
      </c>
      <c r="X47" s="249" t="e">
        <f t="shared" si="13"/>
        <v>#DIV/0!</v>
      </c>
      <c r="Y47" s="12">
        <f t="shared" si="14"/>
        <v>-15</v>
      </c>
      <c r="Z47" s="268"/>
      <c r="AA47" s="194"/>
      <c r="AB47" s="268"/>
      <c r="AC47" s="268"/>
      <c r="AD47" s="12"/>
      <c r="AE47" s="12"/>
      <c r="AF47" s="306"/>
    </row>
    <row r="48" spans="1:32" ht="15" x14ac:dyDescent="0.25">
      <c r="A48" s="301" t="s">
        <v>442</v>
      </c>
      <c r="B48" s="187">
        <v>6171</v>
      </c>
      <c r="C48" s="161">
        <v>5169</v>
      </c>
      <c r="D48" s="167">
        <v>190101</v>
      </c>
      <c r="E48" s="167"/>
      <c r="F48" s="163" t="s">
        <v>197</v>
      </c>
      <c r="G48" s="164">
        <v>302</v>
      </c>
      <c r="H48" s="164">
        <f>320+118</f>
        <v>438</v>
      </c>
      <c r="I48" s="175">
        <f>H48</f>
        <v>438</v>
      </c>
      <c r="J48" s="175">
        <v>270</v>
      </c>
      <c r="K48" s="175">
        <v>438</v>
      </c>
      <c r="L48" s="164"/>
      <c r="M48" s="121"/>
      <c r="N48" s="95"/>
      <c r="O48" s="18">
        <f t="shared" si="10"/>
        <v>0</v>
      </c>
      <c r="P48" s="275"/>
      <c r="Q48" s="21"/>
      <c r="R48" s="21"/>
      <c r="S48" s="21"/>
      <c r="T48" s="21"/>
      <c r="U48" s="21">
        <f>72</f>
        <v>72</v>
      </c>
      <c r="V48" s="21">
        <f t="shared" si="11"/>
        <v>72</v>
      </c>
      <c r="W48" s="249" t="e">
        <f t="shared" si="12"/>
        <v>#DIV/0!</v>
      </c>
      <c r="X48" s="249" t="e">
        <f t="shared" si="13"/>
        <v>#DIV/0!</v>
      </c>
      <c r="Y48" s="12">
        <f t="shared" si="14"/>
        <v>-72</v>
      </c>
      <c r="Z48" s="268"/>
      <c r="AA48" s="175">
        <f>O48*54/100</f>
        <v>0</v>
      </c>
      <c r="AB48" s="268"/>
      <c r="AC48" s="268"/>
      <c r="AD48" s="12"/>
      <c r="AE48" s="12"/>
      <c r="AF48" s="306"/>
    </row>
    <row r="49" spans="1:32" ht="15" x14ac:dyDescent="0.25">
      <c r="A49" s="301" t="s">
        <v>442</v>
      </c>
      <c r="B49" s="187">
        <v>6171</v>
      </c>
      <c r="C49" s="161">
        <v>5169</v>
      </c>
      <c r="D49" s="167">
        <v>190102</v>
      </c>
      <c r="E49" s="167"/>
      <c r="F49" s="19" t="s">
        <v>444</v>
      </c>
      <c r="G49" s="164"/>
      <c r="H49" s="164"/>
      <c r="I49" s="175"/>
      <c r="J49" s="175"/>
      <c r="K49" s="175"/>
      <c r="L49" s="164"/>
      <c r="M49" s="121"/>
      <c r="N49" s="95"/>
      <c r="O49" s="18">
        <f t="shared" si="10"/>
        <v>0</v>
      </c>
      <c r="P49" s="275"/>
      <c r="Q49" s="21"/>
      <c r="R49" s="21">
        <v>68</v>
      </c>
      <c r="S49" s="21"/>
      <c r="T49" s="21"/>
      <c r="U49" s="21"/>
      <c r="V49" s="21">
        <f t="shared" si="11"/>
        <v>68</v>
      </c>
      <c r="W49" s="21"/>
      <c r="X49" s="21"/>
      <c r="Y49" s="12">
        <f t="shared" si="14"/>
        <v>-68</v>
      </c>
      <c r="Z49" s="268"/>
      <c r="AA49" s="194"/>
      <c r="AB49" s="268"/>
      <c r="AC49" s="268"/>
      <c r="AD49" s="12"/>
      <c r="AE49" s="12"/>
      <c r="AF49" s="306"/>
    </row>
    <row r="50" spans="1:32" ht="15" x14ac:dyDescent="0.25">
      <c r="A50" s="301" t="s">
        <v>442</v>
      </c>
      <c r="B50" s="187">
        <v>6171</v>
      </c>
      <c r="C50" s="161">
        <v>5169</v>
      </c>
      <c r="D50" s="167">
        <v>190106</v>
      </c>
      <c r="E50" s="167"/>
      <c r="F50" s="163" t="s">
        <v>206</v>
      </c>
      <c r="G50" s="164">
        <v>4</v>
      </c>
      <c r="H50" s="164">
        <f>4+2</f>
        <v>6</v>
      </c>
      <c r="I50" s="175">
        <f>H50</f>
        <v>6</v>
      </c>
      <c r="J50" s="175">
        <v>2</v>
      </c>
      <c r="K50" s="175">
        <v>6</v>
      </c>
      <c r="L50" s="175"/>
      <c r="M50" s="121"/>
      <c r="N50" s="95"/>
      <c r="O50" s="18">
        <f t="shared" si="10"/>
        <v>0</v>
      </c>
      <c r="P50" s="275"/>
      <c r="Q50" s="21"/>
      <c r="R50" s="21"/>
      <c r="S50" s="21"/>
      <c r="T50" s="21"/>
      <c r="U50" s="21"/>
      <c r="V50" s="21">
        <f t="shared" si="11"/>
        <v>0</v>
      </c>
      <c r="W50" s="249" t="e">
        <f>R50/O50</f>
        <v>#DIV/0!</v>
      </c>
      <c r="X50" s="249" t="e">
        <f>V50/O50</f>
        <v>#DIV/0!</v>
      </c>
      <c r="Y50" s="12">
        <f t="shared" si="14"/>
        <v>0</v>
      </c>
      <c r="Z50" s="268"/>
      <c r="AA50" s="194"/>
      <c r="AB50" s="268"/>
      <c r="AC50" s="268"/>
      <c r="AD50" s="12"/>
      <c r="AE50" s="12"/>
      <c r="AF50" s="306"/>
    </row>
    <row r="51" spans="1:32" ht="15" hidden="1" x14ac:dyDescent="0.25">
      <c r="A51" s="301" t="s">
        <v>442</v>
      </c>
      <c r="B51" s="187">
        <v>6171</v>
      </c>
      <c r="C51" s="161">
        <v>5169</v>
      </c>
      <c r="D51" s="167">
        <v>190109</v>
      </c>
      <c r="E51" s="167"/>
      <c r="F51" s="163" t="s">
        <v>215</v>
      </c>
      <c r="G51" s="164">
        <v>0</v>
      </c>
      <c r="H51" s="164">
        <v>0</v>
      </c>
      <c r="I51" s="175">
        <v>20</v>
      </c>
      <c r="J51" s="175">
        <v>0</v>
      </c>
      <c r="K51" s="175">
        <v>20</v>
      </c>
      <c r="L51" s="175">
        <v>0</v>
      </c>
      <c r="M51" s="121"/>
      <c r="N51" s="95"/>
      <c r="O51" s="275"/>
      <c r="P51" s="275"/>
      <c r="Q51" s="21"/>
      <c r="R51" s="21"/>
      <c r="S51" s="21"/>
      <c r="T51" s="21"/>
      <c r="U51" s="21"/>
      <c r="V51" s="21"/>
      <c r="W51" s="21"/>
      <c r="X51" s="21"/>
      <c r="Y51" s="21"/>
      <c r="Z51" s="268"/>
      <c r="AA51" s="194"/>
      <c r="AB51" s="268"/>
      <c r="AC51" s="268"/>
      <c r="AD51" s="12"/>
      <c r="AE51" s="12"/>
      <c r="AF51" s="306"/>
    </row>
    <row r="52" spans="1:32" ht="15" hidden="1" x14ac:dyDescent="0.25">
      <c r="A52" s="301" t="s">
        <v>145</v>
      </c>
      <c r="B52" s="187">
        <v>6171</v>
      </c>
      <c r="C52" s="161">
        <v>5169</v>
      </c>
      <c r="D52" s="167">
        <v>190101</v>
      </c>
      <c r="E52" s="167"/>
      <c r="F52" s="163" t="s">
        <v>437</v>
      </c>
      <c r="G52" s="164">
        <v>0</v>
      </c>
      <c r="H52" s="164">
        <v>18</v>
      </c>
      <c r="I52" s="175">
        <v>18</v>
      </c>
      <c r="J52" s="175">
        <v>7</v>
      </c>
      <c r="K52" s="175">
        <v>18</v>
      </c>
      <c r="L52" s="182">
        <v>0</v>
      </c>
      <c r="M52" s="121"/>
      <c r="N52" s="95"/>
      <c r="O52" s="275"/>
      <c r="P52" s="275"/>
      <c r="Q52" s="21"/>
      <c r="R52" s="21"/>
      <c r="S52" s="21"/>
      <c r="T52" s="21"/>
      <c r="U52" s="21"/>
      <c r="V52" s="21"/>
      <c r="W52" s="21"/>
      <c r="X52" s="21"/>
      <c r="Y52" s="21"/>
      <c r="Z52" s="268"/>
      <c r="AA52" s="194"/>
      <c r="AB52" s="268"/>
      <c r="AC52" s="268"/>
      <c r="AD52" s="12"/>
      <c r="AE52" s="12"/>
      <c r="AF52" s="306"/>
    </row>
    <row r="53" spans="1:32" ht="15" x14ac:dyDescent="0.25">
      <c r="A53" s="301" t="s">
        <v>23</v>
      </c>
      <c r="B53" s="166">
        <v>6171</v>
      </c>
      <c r="C53" s="162">
        <v>5169</v>
      </c>
      <c r="D53" s="167">
        <v>190110</v>
      </c>
      <c r="E53" s="167"/>
      <c r="F53" s="180" t="s">
        <v>31</v>
      </c>
      <c r="G53" s="164">
        <v>0</v>
      </c>
      <c r="H53" s="164">
        <v>0</v>
      </c>
      <c r="I53" s="164">
        <v>3</v>
      </c>
      <c r="J53" s="164">
        <v>0</v>
      </c>
      <c r="K53" s="164">
        <v>3</v>
      </c>
      <c r="L53" s="164"/>
      <c r="M53" s="133">
        <f>L53</f>
        <v>0</v>
      </c>
      <c r="N53" s="216"/>
      <c r="O53" s="18">
        <f>L53</f>
        <v>0</v>
      </c>
      <c r="P53" s="270">
        <f>O53</f>
        <v>0</v>
      </c>
      <c r="Q53" s="271"/>
      <c r="R53" s="21"/>
      <c r="S53" s="270">
        <f>R53</f>
        <v>0</v>
      </c>
      <c r="T53" s="271"/>
      <c r="U53" s="21"/>
      <c r="V53" s="21">
        <f>R53+U53</f>
        <v>0</v>
      </c>
      <c r="W53" s="249" t="e">
        <f>R53/O53</f>
        <v>#DIV/0!</v>
      </c>
      <c r="X53" s="249" t="e">
        <f>V53/O53</f>
        <v>#DIV/0!</v>
      </c>
      <c r="Y53" s="12">
        <f>O53-V53</f>
        <v>0</v>
      </c>
      <c r="Z53" s="268"/>
      <c r="AA53" s="194"/>
      <c r="AB53" s="268"/>
      <c r="AC53" s="268"/>
      <c r="AD53" s="12"/>
      <c r="AE53" s="12"/>
      <c r="AF53" s="306"/>
    </row>
    <row r="54" spans="1:32" ht="15" x14ac:dyDescent="0.25">
      <c r="A54" s="301" t="s">
        <v>323</v>
      </c>
      <c r="B54" s="187">
        <v>6171</v>
      </c>
      <c r="C54" s="161">
        <v>5169</v>
      </c>
      <c r="D54" s="167">
        <v>190107</v>
      </c>
      <c r="E54" s="167"/>
      <c r="F54" s="163" t="s">
        <v>316</v>
      </c>
      <c r="G54" s="164">
        <v>150</v>
      </c>
      <c r="H54" s="164">
        <v>150</v>
      </c>
      <c r="I54" s="175">
        <f>H54</f>
        <v>150</v>
      </c>
      <c r="J54" s="175">
        <v>75</v>
      </c>
      <c r="K54" s="175">
        <v>150</v>
      </c>
      <c r="L54" s="175"/>
      <c r="M54" s="121"/>
      <c r="N54" s="95"/>
      <c r="O54" s="18">
        <f>L54</f>
        <v>0</v>
      </c>
      <c r="P54" s="275"/>
      <c r="Q54" s="21"/>
      <c r="R54" s="21"/>
      <c r="S54" s="21"/>
      <c r="T54" s="21"/>
      <c r="U54" s="21">
        <f>25</f>
        <v>25</v>
      </c>
      <c r="V54" s="21">
        <f>R54+U54</f>
        <v>25</v>
      </c>
      <c r="W54" s="249" t="e">
        <f>R54/O54</f>
        <v>#DIV/0!</v>
      </c>
      <c r="X54" s="249" t="e">
        <f>V54/O54</f>
        <v>#DIV/0!</v>
      </c>
      <c r="Y54" s="12">
        <f>O54-V54</f>
        <v>-25</v>
      </c>
      <c r="Z54" s="268"/>
      <c r="AA54" s="194"/>
      <c r="AB54" s="268"/>
      <c r="AC54" s="268"/>
      <c r="AD54" s="12"/>
      <c r="AE54" s="12"/>
      <c r="AF54" s="306"/>
    </row>
    <row r="55" spans="1:32" ht="15" x14ac:dyDescent="0.25">
      <c r="A55" s="301" t="s">
        <v>323</v>
      </c>
      <c r="B55" s="171">
        <v>6171</v>
      </c>
      <c r="C55" s="171">
        <v>5169</v>
      </c>
      <c r="D55" s="170">
        <v>190108</v>
      </c>
      <c r="E55" s="170"/>
      <c r="F55" s="170" t="s">
        <v>124</v>
      </c>
      <c r="G55" s="174">
        <v>0</v>
      </c>
      <c r="H55" s="174">
        <v>0</v>
      </c>
      <c r="I55" s="174">
        <v>0</v>
      </c>
      <c r="J55" s="174">
        <v>0</v>
      </c>
      <c r="K55" s="174">
        <v>0</v>
      </c>
      <c r="L55" s="164"/>
      <c r="M55" s="121"/>
      <c r="N55" s="95"/>
      <c r="O55" s="18">
        <f>L55</f>
        <v>0</v>
      </c>
      <c r="P55" s="275"/>
      <c r="Q55" s="21"/>
      <c r="R55" s="21"/>
      <c r="S55" s="21"/>
      <c r="T55" s="21"/>
      <c r="U55" s="21">
        <f>1</f>
        <v>1</v>
      </c>
      <c r="V55" s="21">
        <f>R55+U55</f>
        <v>1</v>
      </c>
      <c r="W55" s="249" t="e">
        <f>R55/O55</f>
        <v>#DIV/0!</v>
      </c>
      <c r="X55" s="249" t="e">
        <f>V55/O55</f>
        <v>#DIV/0!</v>
      </c>
      <c r="Y55" s="12">
        <f>O55-V55</f>
        <v>-1</v>
      </c>
      <c r="Z55" s="268"/>
      <c r="AA55" s="194"/>
      <c r="AB55" s="268"/>
      <c r="AC55" s="268"/>
      <c r="AD55" s="12"/>
      <c r="AE55" s="12"/>
      <c r="AF55" s="306"/>
    </row>
    <row r="56" spans="1:32" ht="15" x14ac:dyDescent="0.25">
      <c r="A56" s="301" t="s">
        <v>352</v>
      </c>
      <c r="B56" s="166">
        <v>6171</v>
      </c>
      <c r="C56" s="162">
        <v>5169</v>
      </c>
      <c r="D56" s="167">
        <v>190104</v>
      </c>
      <c r="E56" s="167"/>
      <c r="F56" s="163" t="s">
        <v>282</v>
      </c>
      <c r="G56" s="163">
        <v>194</v>
      </c>
      <c r="H56" s="164">
        <v>200</v>
      </c>
      <c r="I56" s="168">
        <v>200</v>
      </c>
      <c r="J56" s="169">
        <v>38</v>
      </c>
      <c r="K56" s="169">
        <v>200</v>
      </c>
      <c r="L56" s="170"/>
      <c r="M56" s="121"/>
      <c r="N56" s="95"/>
      <c r="O56" s="18">
        <f>L56</f>
        <v>0</v>
      </c>
      <c r="P56" s="275"/>
      <c r="Q56" s="21"/>
      <c r="R56" s="21">
        <v>9</v>
      </c>
      <c r="S56" s="21"/>
      <c r="T56" s="21"/>
      <c r="U56" s="21"/>
      <c r="V56" s="21">
        <f>R56+U56</f>
        <v>9</v>
      </c>
      <c r="W56" s="249" t="e">
        <f>R56/O56</f>
        <v>#DIV/0!</v>
      </c>
      <c r="X56" s="249" t="e">
        <f>V56/O56</f>
        <v>#DIV/0!</v>
      </c>
      <c r="Y56" s="12">
        <f>O56-V56</f>
        <v>-9</v>
      </c>
      <c r="Z56" s="268"/>
      <c r="AA56" s="175">
        <f>O56*54/100</f>
        <v>0</v>
      </c>
      <c r="AB56" s="268"/>
      <c r="AC56" s="268"/>
      <c r="AD56" s="12"/>
      <c r="AE56" s="12"/>
      <c r="AF56" s="306"/>
    </row>
    <row r="57" spans="1:32" ht="15" hidden="1" x14ac:dyDescent="0.25">
      <c r="A57" s="301" t="s">
        <v>352</v>
      </c>
      <c r="B57" s="166">
        <v>6171</v>
      </c>
      <c r="C57" s="162">
        <v>5169</v>
      </c>
      <c r="D57" s="167">
        <v>190106</v>
      </c>
      <c r="E57" s="167"/>
      <c r="F57" s="188" t="s">
        <v>418</v>
      </c>
      <c r="G57" s="163"/>
      <c r="H57" s="164"/>
      <c r="I57" s="168"/>
      <c r="J57" s="169"/>
      <c r="K57" s="169"/>
      <c r="L57" s="184">
        <f>20-20</f>
        <v>0</v>
      </c>
      <c r="M57" s="121"/>
      <c r="N57" s="95"/>
      <c r="O57" s="275"/>
      <c r="P57" s="275"/>
      <c r="Q57" s="21"/>
      <c r="R57" s="21"/>
      <c r="S57" s="21"/>
      <c r="T57" s="21"/>
      <c r="U57" s="21"/>
      <c r="V57" s="21"/>
      <c r="W57" s="21"/>
      <c r="X57" s="21"/>
      <c r="Y57" s="21"/>
      <c r="Z57" s="268"/>
      <c r="AA57" s="194"/>
      <c r="AB57" s="268"/>
      <c r="AC57" s="268"/>
      <c r="AD57" s="12"/>
      <c r="AE57" s="12"/>
      <c r="AF57" s="306"/>
    </row>
    <row r="58" spans="1:32" ht="15" x14ac:dyDescent="0.25">
      <c r="A58" s="301" t="s">
        <v>352</v>
      </c>
      <c r="B58" s="166">
        <v>6171</v>
      </c>
      <c r="C58" s="162">
        <v>5169</v>
      </c>
      <c r="D58" s="167">
        <v>190103</v>
      </c>
      <c r="E58" s="167"/>
      <c r="F58" s="163" t="s">
        <v>283</v>
      </c>
      <c r="G58" s="163">
        <v>50</v>
      </c>
      <c r="H58" s="164">
        <v>72</v>
      </c>
      <c r="I58" s="168">
        <v>72</v>
      </c>
      <c r="J58" s="169">
        <v>34</v>
      </c>
      <c r="K58" s="169">
        <v>72</v>
      </c>
      <c r="L58" s="163"/>
      <c r="M58" s="121"/>
      <c r="N58" s="95"/>
      <c r="O58" s="18">
        <f t="shared" ref="O58:O65" si="15">L58</f>
        <v>0</v>
      </c>
      <c r="P58" s="275"/>
      <c r="Q58" s="21"/>
      <c r="R58" s="21"/>
      <c r="S58" s="21"/>
      <c r="T58" s="21"/>
      <c r="U58" s="21">
        <f>1+13</f>
        <v>14</v>
      </c>
      <c r="V58" s="21">
        <f t="shared" ref="V58:V65" si="16">R58+U58</f>
        <v>14</v>
      </c>
      <c r="W58" s="249" t="e">
        <f t="shared" ref="W58:W65" si="17">R58/O58</f>
        <v>#DIV/0!</v>
      </c>
      <c r="X58" s="249" t="e">
        <f t="shared" ref="X58:X65" si="18">V58/O58</f>
        <v>#DIV/0!</v>
      </c>
      <c r="Y58" s="12">
        <f t="shared" ref="Y58:Y65" si="19">O58-V58</f>
        <v>-14</v>
      </c>
      <c r="Z58" s="268"/>
      <c r="AA58" s="175"/>
      <c r="AB58" s="268"/>
      <c r="AC58" s="268"/>
      <c r="AD58" s="12"/>
      <c r="AE58" s="12"/>
      <c r="AF58" s="306"/>
    </row>
    <row r="59" spans="1:32" ht="15" x14ac:dyDescent="0.25">
      <c r="A59" s="301" t="s">
        <v>352</v>
      </c>
      <c r="B59" s="166">
        <v>6171</v>
      </c>
      <c r="C59" s="162">
        <v>5169</v>
      </c>
      <c r="D59" s="167">
        <v>190105</v>
      </c>
      <c r="E59" s="167"/>
      <c r="F59" s="163" t="s">
        <v>1</v>
      </c>
      <c r="G59" s="163">
        <v>13</v>
      </c>
      <c r="H59" s="164">
        <v>22</v>
      </c>
      <c r="I59" s="168">
        <v>22</v>
      </c>
      <c r="J59" s="169">
        <v>1</v>
      </c>
      <c r="K59" s="169">
        <v>20</v>
      </c>
      <c r="L59" s="170"/>
      <c r="M59" s="127">
        <f>SUM(L37,L38,L39,L41,L42,L43,L45,L46,L48,L50,L54,L55,L56,L58,L59,L60)</f>
        <v>0</v>
      </c>
      <c r="N59" s="126"/>
      <c r="O59" s="18">
        <f t="shared" si="15"/>
        <v>0</v>
      </c>
      <c r="P59" s="18">
        <f>SUM(O37,O38,O39,O41,O42,O43,O45,O46,O48,O50,O54,O55,O56,O58,O59,O60)</f>
        <v>0</v>
      </c>
      <c r="Q59" s="21"/>
      <c r="R59" s="21"/>
      <c r="S59" s="18">
        <f>SUM(R37,R38,R39,R41,R42,R43,R45,R46,R48,R49,R50,R54,R55,R56,R58,R59,R60)</f>
        <v>328</v>
      </c>
      <c r="T59" s="21"/>
      <c r="U59" s="21"/>
      <c r="V59" s="21">
        <f t="shared" si="16"/>
        <v>0</v>
      </c>
      <c r="W59" s="249" t="e">
        <f t="shared" si="17"/>
        <v>#DIV/0!</v>
      </c>
      <c r="X59" s="249" t="e">
        <f t="shared" si="18"/>
        <v>#DIV/0!</v>
      </c>
      <c r="Y59" s="12">
        <f t="shared" si="19"/>
        <v>0</v>
      </c>
      <c r="Z59" s="268"/>
      <c r="AA59" s="175"/>
      <c r="AB59" s="268"/>
      <c r="AC59" s="268"/>
      <c r="AD59" s="12"/>
      <c r="AE59" s="12"/>
      <c r="AF59" s="306"/>
    </row>
    <row r="60" spans="1:32" ht="15" x14ac:dyDescent="0.25">
      <c r="A60" s="301" t="s">
        <v>442</v>
      </c>
      <c r="B60" s="171">
        <v>6171</v>
      </c>
      <c r="C60" s="171">
        <v>5169</v>
      </c>
      <c r="D60" s="170">
        <v>190109</v>
      </c>
      <c r="E60" s="169"/>
      <c r="F60" s="169" t="s">
        <v>215</v>
      </c>
      <c r="G60" s="163"/>
      <c r="H60" s="164"/>
      <c r="I60" s="168"/>
      <c r="J60" s="169"/>
      <c r="K60" s="169"/>
      <c r="L60" s="169"/>
      <c r="M60" s="39"/>
      <c r="N60" s="41"/>
      <c r="O60" s="18">
        <f t="shared" si="15"/>
        <v>0</v>
      </c>
      <c r="P60" s="275"/>
      <c r="Q60" s="21"/>
      <c r="R60" s="21">
        <v>1</v>
      </c>
      <c r="S60" s="21"/>
      <c r="T60" s="21"/>
      <c r="U60" s="21"/>
      <c r="V60" s="21">
        <f t="shared" si="16"/>
        <v>1</v>
      </c>
      <c r="W60" s="249" t="e">
        <f t="shared" si="17"/>
        <v>#DIV/0!</v>
      </c>
      <c r="X60" s="249" t="e">
        <f t="shared" si="18"/>
        <v>#DIV/0!</v>
      </c>
      <c r="Y60" s="12">
        <f t="shared" si="19"/>
        <v>-1</v>
      </c>
      <c r="Z60" s="268"/>
      <c r="AA60" s="175"/>
      <c r="AB60" s="268"/>
      <c r="AC60" s="268"/>
      <c r="AD60" s="12"/>
      <c r="AE60" s="12"/>
      <c r="AF60" s="306"/>
    </row>
    <row r="61" spans="1:32" ht="15" x14ac:dyDescent="0.25">
      <c r="A61" s="301" t="s">
        <v>352</v>
      </c>
      <c r="B61" s="166">
        <v>6171</v>
      </c>
      <c r="C61" s="162">
        <v>5171</v>
      </c>
      <c r="D61" s="167">
        <v>190101</v>
      </c>
      <c r="E61" s="167"/>
      <c r="F61" s="163" t="s">
        <v>445</v>
      </c>
      <c r="G61" s="163">
        <v>39</v>
      </c>
      <c r="H61" s="164">
        <v>123</v>
      </c>
      <c r="I61" s="168">
        <v>123</v>
      </c>
      <c r="J61" s="169">
        <v>28</v>
      </c>
      <c r="K61" s="169">
        <v>123</v>
      </c>
      <c r="L61" s="170"/>
      <c r="M61" s="141"/>
      <c r="N61" s="224"/>
      <c r="O61" s="18">
        <f t="shared" si="15"/>
        <v>0</v>
      </c>
      <c r="P61" s="282"/>
      <c r="Q61" s="283"/>
      <c r="R61" s="21">
        <v>5</v>
      </c>
      <c r="S61" s="283"/>
      <c r="T61" s="283"/>
      <c r="U61" s="21">
        <f>6</f>
        <v>6</v>
      </c>
      <c r="V61" s="21">
        <f t="shared" si="16"/>
        <v>11</v>
      </c>
      <c r="W61" s="249" t="e">
        <f t="shared" si="17"/>
        <v>#DIV/0!</v>
      </c>
      <c r="X61" s="249" t="e">
        <f t="shared" si="18"/>
        <v>#DIV/0!</v>
      </c>
      <c r="Y61" s="12">
        <f t="shared" si="19"/>
        <v>-11</v>
      </c>
      <c r="Z61" s="268"/>
      <c r="AA61" s="175">
        <f>O61*54/100</f>
        <v>0</v>
      </c>
      <c r="AB61" s="268"/>
      <c r="AC61" s="268"/>
      <c r="AD61" s="12"/>
      <c r="AE61" s="12"/>
      <c r="AF61" s="306"/>
    </row>
    <row r="62" spans="1:32" ht="15" x14ac:dyDescent="0.25">
      <c r="A62" s="301" t="s">
        <v>352</v>
      </c>
      <c r="B62" s="166">
        <v>6171</v>
      </c>
      <c r="C62" s="162">
        <v>5171</v>
      </c>
      <c r="D62" s="167">
        <v>190102</v>
      </c>
      <c r="E62" s="167"/>
      <c r="F62" s="163" t="s">
        <v>446</v>
      </c>
      <c r="G62" s="163">
        <v>39</v>
      </c>
      <c r="H62" s="164">
        <v>24</v>
      </c>
      <c r="I62" s="168">
        <v>24</v>
      </c>
      <c r="J62" s="169">
        <v>6</v>
      </c>
      <c r="K62" s="169">
        <v>24</v>
      </c>
      <c r="L62" s="170"/>
      <c r="M62" s="141"/>
      <c r="N62" s="224"/>
      <c r="O62" s="18">
        <f t="shared" si="15"/>
        <v>0</v>
      </c>
      <c r="P62" s="282"/>
      <c r="Q62" s="283"/>
      <c r="R62" s="21">
        <v>2</v>
      </c>
      <c r="S62" s="283"/>
      <c r="T62" s="283"/>
      <c r="U62" s="21"/>
      <c r="V62" s="21">
        <f t="shared" si="16"/>
        <v>2</v>
      </c>
      <c r="W62" s="249" t="e">
        <f t="shared" si="17"/>
        <v>#DIV/0!</v>
      </c>
      <c r="X62" s="249" t="e">
        <f t="shared" si="18"/>
        <v>#DIV/0!</v>
      </c>
      <c r="Y62" s="12">
        <f t="shared" si="19"/>
        <v>-2</v>
      </c>
      <c r="Z62" s="268"/>
      <c r="AA62" s="175"/>
      <c r="AB62" s="268"/>
      <c r="AC62" s="268"/>
      <c r="AD62" s="12"/>
      <c r="AE62" s="12"/>
      <c r="AF62" s="306"/>
    </row>
    <row r="63" spans="1:32" ht="15" x14ac:dyDescent="0.25">
      <c r="A63" s="301" t="s">
        <v>352</v>
      </c>
      <c r="B63" s="166">
        <v>6171</v>
      </c>
      <c r="C63" s="162">
        <v>5171</v>
      </c>
      <c r="D63" s="167">
        <v>190103</v>
      </c>
      <c r="E63" s="167"/>
      <c r="F63" s="163" t="s">
        <v>117</v>
      </c>
      <c r="G63" s="163">
        <v>9</v>
      </c>
      <c r="H63" s="164">
        <v>35</v>
      </c>
      <c r="I63" s="168">
        <v>35</v>
      </c>
      <c r="J63" s="169">
        <v>6</v>
      </c>
      <c r="K63" s="169">
        <v>35</v>
      </c>
      <c r="L63" s="163"/>
      <c r="M63" s="141"/>
      <c r="N63" s="224"/>
      <c r="O63" s="18">
        <f t="shared" si="15"/>
        <v>0</v>
      </c>
      <c r="P63" s="282"/>
      <c r="Q63" s="283"/>
      <c r="R63" s="21">
        <v>3</v>
      </c>
      <c r="S63" s="283"/>
      <c r="T63" s="283"/>
      <c r="U63" s="21">
        <f>1+1</f>
        <v>2</v>
      </c>
      <c r="V63" s="21">
        <f t="shared" si="16"/>
        <v>5</v>
      </c>
      <c r="W63" s="249" t="e">
        <f t="shared" si="17"/>
        <v>#DIV/0!</v>
      </c>
      <c r="X63" s="249" t="e">
        <f t="shared" si="18"/>
        <v>#DIV/0!</v>
      </c>
      <c r="Y63" s="12">
        <f t="shared" si="19"/>
        <v>-5</v>
      </c>
      <c r="Z63" s="268"/>
      <c r="AA63" s="175"/>
      <c r="AB63" s="268"/>
      <c r="AC63" s="268"/>
      <c r="AD63" s="12"/>
      <c r="AE63" s="12"/>
      <c r="AF63" s="306"/>
    </row>
    <row r="64" spans="1:32" ht="15" x14ac:dyDescent="0.25">
      <c r="A64" s="301" t="s">
        <v>352</v>
      </c>
      <c r="B64" s="166">
        <v>6171</v>
      </c>
      <c r="C64" s="162">
        <v>5171</v>
      </c>
      <c r="D64" s="167">
        <v>190104</v>
      </c>
      <c r="E64" s="167"/>
      <c r="F64" s="163" t="s">
        <v>447</v>
      </c>
      <c r="G64" s="163">
        <v>5</v>
      </c>
      <c r="H64" s="164">
        <v>5</v>
      </c>
      <c r="I64" s="168">
        <v>5</v>
      </c>
      <c r="J64" s="169">
        <v>2</v>
      </c>
      <c r="K64" s="169">
        <v>5</v>
      </c>
      <c r="L64" s="170"/>
      <c r="M64" s="141"/>
      <c r="N64" s="224"/>
      <c r="O64" s="18">
        <f t="shared" si="15"/>
        <v>0</v>
      </c>
      <c r="P64" s="282"/>
      <c r="Q64" s="283"/>
      <c r="R64" s="21"/>
      <c r="S64" s="283"/>
      <c r="T64" s="283"/>
      <c r="U64" s="21"/>
      <c r="V64" s="21">
        <f t="shared" si="16"/>
        <v>0</v>
      </c>
      <c r="W64" s="249" t="e">
        <f t="shared" si="17"/>
        <v>#DIV/0!</v>
      </c>
      <c r="X64" s="249" t="e">
        <f t="shared" si="18"/>
        <v>#DIV/0!</v>
      </c>
      <c r="Y64" s="12">
        <f t="shared" si="19"/>
        <v>0</v>
      </c>
      <c r="Z64" s="268"/>
      <c r="AA64" s="194"/>
      <c r="AB64" s="268"/>
      <c r="AC64" s="268"/>
      <c r="AD64" s="12"/>
      <c r="AE64" s="12"/>
      <c r="AF64" s="306"/>
    </row>
    <row r="65" spans="1:32" ht="15" x14ac:dyDescent="0.25">
      <c r="A65" s="301" t="s">
        <v>352</v>
      </c>
      <c r="B65" s="166">
        <v>6171</v>
      </c>
      <c r="C65" s="162">
        <v>5171</v>
      </c>
      <c r="D65" s="167">
        <v>190105</v>
      </c>
      <c r="E65" s="167"/>
      <c r="F65" s="163" t="s">
        <v>258</v>
      </c>
      <c r="G65" s="164"/>
      <c r="H65" s="168"/>
      <c r="I65" s="189"/>
      <c r="J65" s="168"/>
      <c r="K65" s="169"/>
      <c r="L65" s="170"/>
      <c r="M65" s="142">
        <f>SUM(L61:L65)</f>
        <v>0</v>
      </c>
      <c r="N65" s="225"/>
      <c r="O65" s="18">
        <f t="shared" si="15"/>
        <v>0</v>
      </c>
      <c r="P65" s="284">
        <f>SUM(O61:O65)</f>
        <v>0</v>
      </c>
      <c r="Q65" s="283"/>
      <c r="R65" s="21"/>
      <c r="S65" s="284">
        <f>SUM(R61:R65)</f>
        <v>10</v>
      </c>
      <c r="T65" s="283"/>
      <c r="U65" s="21"/>
      <c r="V65" s="21">
        <f t="shared" si="16"/>
        <v>0</v>
      </c>
      <c r="W65" s="249" t="e">
        <f t="shared" si="17"/>
        <v>#DIV/0!</v>
      </c>
      <c r="X65" s="249" t="e">
        <f t="shared" si="18"/>
        <v>#DIV/0!</v>
      </c>
      <c r="Y65" s="12">
        <f t="shared" si="19"/>
        <v>0</v>
      </c>
      <c r="Z65" s="268"/>
      <c r="AA65" s="194"/>
      <c r="AB65" s="268"/>
      <c r="AC65" s="268"/>
      <c r="AD65" s="12"/>
      <c r="AE65" s="12"/>
      <c r="AF65" s="306"/>
    </row>
    <row r="66" spans="1:32" ht="15" hidden="1" x14ac:dyDescent="0.25">
      <c r="A66" s="301" t="s">
        <v>352</v>
      </c>
      <c r="B66" s="166">
        <v>6171</v>
      </c>
      <c r="C66" s="162">
        <v>5171</v>
      </c>
      <c r="D66" s="167">
        <v>190106</v>
      </c>
      <c r="E66" s="167"/>
      <c r="F66" s="188" t="s">
        <v>224</v>
      </c>
      <c r="G66" s="164"/>
      <c r="H66" s="168"/>
      <c r="I66" s="189"/>
      <c r="J66" s="168"/>
      <c r="K66" s="169"/>
      <c r="L66" s="184">
        <f>150-150</f>
        <v>0</v>
      </c>
      <c r="M66" s="121"/>
      <c r="N66" s="95"/>
      <c r="O66" s="275"/>
      <c r="P66" s="275"/>
      <c r="Q66" s="21"/>
      <c r="R66" s="21"/>
      <c r="S66" s="21"/>
      <c r="T66" s="21"/>
      <c r="U66" s="21"/>
      <c r="V66" s="21"/>
      <c r="W66" s="21"/>
      <c r="X66" s="21"/>
      <c r="Y66" s="21"/>
      <c r="Z66" s="268"/>
      <c r="AA66" s="194"/>
      <c r="AB66" s="268"/>
      <c r="AC66" s="268"/>
      <c r="AD66" s="12"/>
      <c r="AE66" s="12"/>
      <c r="AF66" s="306"/>
    </row>
    <row r="67" spans="1:32" ht="15" x14ac:dyDescent="0.25">
      <c r="A67" s="302" t="s">
        <v>413</v>
      </c>
      <c r="B67" s="166">
        <v>6171</v>
      </c>
      <c r="C67" s="162">
        <v>5171</v>
      </c>
      <c r="D67" s="167">
        <v>1901</v>
      </c>
      <c r="E67" s="167"/>
      <c r="F67" s="163" t="s">
        <v>324</v>
      </c>
      <c r="G67" s="163">
        <v>85</v>
      </c>
      <c r="H67" s="164">
        <v>98</v>
      </c>
      <c r="I67" s="168">
        <v>154</v>
      </c>
      <c r="J67" s="169">
        <v>135</v>
      </c>
      <c r="K67" s="169">
        <v>154</v>
      </c>
      <c r="L67" s="163"/>
      <c r="M67" s="143"/>
      <c r="N67" s="226"/>
      <c r="O67" s="18">
        <f t="shared" ref="O67:O85" si="20">L67</f>
        <v>0</v>
      </c>
      <c r="P67" s="279"/>
      <c r="Q67" s="280"/>
      <c r="R67" s="21">
        <v>11</v>
      </c>
      <c r="S67" s="280"/>
      <c r="T67" s="280"/>
      <c r="U67" s="21"/>
      <c r="V67" s="21">
        <f t="shared" ref="V67:V85" si="21">R67+U67</f>
        <v>11</v>
      </c>
      <c r="W67" s="249" t="e">
        <f t="shared" ref="W67:W85" si="22">R67/O67</f>
        <v>#DIV/0!</v>
      </c>
      <c r="X67" s="249" t="e">
        <f t="shared" ref="X67:X85" si="23">V67/O67</f>
        <v>#DIV/0!</v>
      </c>
      <c r="Y67" s="12">
        <f t="shared" ref="Y67:Y85" si="24">O67-V67</f>
        <v>-11</v>
      </c>
      <c r="Z67" s="268"/>
      <c r="AA67" s="175"/>
      <c r="AB67" s="268"/>
      <c r="AC67" s="268"/>
      <c r="AD67" s="12"/>
      <c r="AE67" s="12"/>
      <c r="AF67" s="306"/>
    </row>
    <row r="68" spans="1:32" ht="15" x14ac:dyDescent="0.25">
      <c r="A68" s="302" t="s">
        <v>265</v>
      </c>
      <c r="B68" s="187">
        <v>6171</v>
      </c>
      <c r="C68" s="161">
        <v>5173</v>
      </c>
      <c r="D68" s="167">
        <v>1901</v>
      </c>
      <c r="E68" s="167"/>
      <c r="F68" s="163" t="s">
        <v>203</v>
      </c>
      <c r="G68" s="164">
        <v>41</v>
      </c>
      <c r="H68" s="175">
        <v>80</v>
      </c>
      <c r="I68" s="168">
        <v>80</v>
      </c>
      <c r="J68" s="169">
        <v>62</v>
      </c>
      <c r="K68" s="168">
        <v>120</v>
      </c>
      <c r="L68" s="164"/>
      <c r="M68" s="144"/>
      <c r="N68" s="227"/>
      <c r="O68" s="18">
        <f t="shared" si="20"/>
        <v>0</v>
      </c>
      <c r="P68" s="285"/>
      <c r="Q68" s="286"/>
      <c r="R68" s="21"/>
      <c r="S68" s="286"/>
      <c r="T68" s="286"/>
      <c r="U68" s="21"/>
      <c r="V68" s="21">
        <f t="shared" si="21"/>
        <v>0</v>
      </c>
      <c r="W68" s="249" t="e">
        <f t="shared" si="22"/>
        <v>#DIV/0!</v>
      </c>
      <c r="X68" s="249" t="e">
        <f t="shared" si="23"/>
        <v>#DIV/0!</v>
      </c>
      <c r="Y68" s="12">
        <f t="shared" si="24"/>
        <v>0</v>
      </c>
      <c r="Z68" s="268"/>
      <c r="AA68" s="175"/>
      <c r="AB68" s="268"/>
      <c r="AC68" s="268"/>
      <c r="AD68" s="12">
        <f>O68*54/100</f>
        <v>0</v>
      </c>
      <c r="AE68" s="12"/>
      <c r="AF68" s="306"/>
    </row>
    <row r="69" spans="1:32" ht="15" x14ac:dyDescent="0.25">
      <c r="A69" s="301" t="s">
        <v>323</v>
      </c>
      <c r="B69" s="166">
        <v>6171</v>
      </c>
      <c r="C69" s="162">
        <v>5175</v>
      </c>
      <c r="D69" s="167">
        <v>1901</v>
      </c>
      <c r="E69" s="167"/>
      <c r="F69" s="163" t="s">
        <v>292</v>
      </c>
      <c r="G69" s="176">
        <v>26</v>
      </c>
      <c r="H69" s="176">
        <f>30+14</f>
        <v>44</v>
      </c>
      <c r="I69" s="174">
        <f>H69</f>
        <v>44</v>
      </c>
      <c r="J69" s="174">
        <v>11</v>
      </c>
      <c r="K69" s="174">
        <v>25</v>
      </c>
      <c r="L69" s="175"/>
      <c r="M69" s="145"/>
      <c r="N69" s="228"/>
      <c r="O69" s="18">
        <f t="shared" si="20"/>
        <v>0</v>
      </c>
      <c r="P69" s="285"/>
      <c r="Q69" s="286"/>
      <c r="R69" s="21"/>
      <c r="S69" s="286"/>
      <c r="T69" s="286"/>
      <c r="U69" s="21"/>
      <c r="V69" s="21">
        <f t="shared" si="21"/>
        <v>0</v>
      </c>
      <c r="W69" s="249" t="e">
        <f t="shared" si="22"/>
        <v>#DIV/0!</v>
      </c>
      <c r="X69" s="249" t="e">
        <f t="shared" si="23"/>
        <v>#DIV/0!</v>
      </c>
      <c r="Y69" s="12">
        <f t="shared" si="24"/>
        <v>0</v>
      </c>
      <c r="Z69" s="268"/>
      <c r="AA69" s="194"/>
      <c r="AB69" s="268"/>
      <c r="AC69" s="268"/>
      <c r="AD69" s="12"/>
      <c r="AE69" s="12"/>
      <c r="AF69" s="306"/>
    </row>
    <row r="70" spans="1:32" ht="15" x14ac:dyDescent="0.25">
      <c r="A70" s="301" t="s">
        <v>159</v>
      </c>
      <c r="B70" s="166">
        <v>6171</v>
      </c>
      <c r="C70" s="162">
        <v>5175</v>
      </c>
      <c r="D70" s="167">
        <v>190101</v>
      </c>
      <c r="E70" s="167"/>
      <c r="F70" s="163" t="s">
        <v>264</v>
      </c>
      <c r="G70" s="164">
        <v>0</v>
      </c>
      <c r="H70" s="164">
        <v>0</v>
      </c>
      <c r="I70" s="165">
        <v>10</v>
      </c>
      <c r="J70" s="169">
        <v>1</v>
      </c>
      <c r="K70" s="169">
        <v>10</v>
      </c>
      <c r="L70" s="170"/>
      <c r="M70" s="131">
        <f>SUM(L44,L70)</f>
        <v>0</v>
      </c>
      <c r="N70" s="217"/>
      <c r="O70" s="18">
        <f t="shared" si="20"/>
        <v>0</v>
      </c>
      <c r="P70" s="243">
        <f>SUM(O44,O70)</f>
        <v>0</v>
      </c>
      <c r="Q70" s="287"/>
      <c r="R70" s="21"/>
      <c r="S70" s="243">
        <f>SUM(R44,R70)</f>
        <v>0</v>
      </c>
      <c r="T70" s="287"/>
      <c r="U70" s="21"/>
      <c r="V70" s="21">
        <f t="shared" si="21"/>
        <v>0</v>
      </c>
      <c r="W70" s="249" t="e">
        <f t="shared" si="22"/>
        <v>#DIV/0!</v>
      </c>
      <c r="X70" s="249" t="e">
        <f t="shared" si="23"/>
        <v>#DIV/0!</v>
      </c>
      <c r="Y70" s="12">
        <f t="shared" si="24"/>
        <v>0</v>
      </c>
      <c r="Z70" s="268"/>
      <c r="AA70" s="194"/>
      <c r="AB70" s="268"/>
      <c r="AC70" s="268"/>
      <c r="AD70" s="12"/>
      <c r="AE70" s="12"/>
      <c r="AF70" s="306"/>
    </row>
    <row r="71" spans="1:32" ht="15" x14ac:dyDescent="0.25">
      <c r="A71" s="301" t="s">
        <v>442</v>
      </c>
      <c r="B71" s="187">
        <v>6171</v>
      </c>
      <c r="C71" s="161">
        <v>5179</v>
      </c>
      <c r="D71" s="167">
        <v>1913</v>
      </c>
      <c r="E71" s="167">
        <v>1913</v>
      </c>
      <c r="F71" s="163" t="s">
        <v>277</v>
      </c>
      <c r="G71" s="164">
        <v>173</v>
      </c>
      <c r="H71" s="164">
        <f>163+29</f>
        <v>192</v>
      </c>
      <c r="I71" s="164">
        <f>H71-10</f>
        <v>182</v>
      </c>
      <c r="J71" s="175">
        <v>66</v>
      </c>
      <c r="K71" s="175">
        <v>182</v>
      </c>
      <c r="L71" s="175"/>
      <c r="M71" s="138"/>
      <c r="N71" s="221"/>
      <c r="O71" s="18">
        <f t="shared" si="20"/>
        <v>0</v>
      </c>
      <c r="P71" s="277"/>
      <c r="Q71" s="278"/>
      <c r="R71" s="21">
        <v>11</v>
      </c>
      <c r="S71" s="278"/>
      <c r="T71" s="278"/>
      <c r="U71" s="21"/>
      <c r="V71" s="21">
        <f t="shared" si="21"/>
        <v>11</v>
      </c>
      <c r="W71" s="249" t="e">
        <f t="shared" si="22"/>
        <v>#DIV/0!</v>
      </c>
      <c r="X71" s="249" t="e">
        <f t="shared" si="23"/>
        <v>#DIV/0!</v>
      </c>
      <c r="Y71" s="12">
        <f t="shared" si="24"/>
        <v>-11</v>
      </c>
      <c r="Z71" s="268"/>
      <c r="AA71" s="194"/>
      <c r="AB71" s="268"/>
      <c r="AC71" s="268"/>
      <c r="AD71" s="12"/>
      <c r="AE71" s="12"/>
      <c r="AF71" s="306"/>
    </row>
    <row r="72" spans="1:32" ht="15" x14ac:dyDescent="0.25">
      <c r="A72" s="302" t="s">
        <v>413</v>
      </c>
      <c r="B72" s="166">
        <v>6171</v>
      </c>
      <c r="C72" s="162">
        <v>5189</v>
      </c>
      <c r="D72" s="167">
        <v>1901</v>
      </c>
      <c r="E72" s="167"/>
      <c r="F72" s="163" t="s">
        <v>201</v>
      </c>
      <c r="G72" s="163">
        <v>1</v>
      </c>
      <c r="H72" s="164">
        <v>2</v>
      </c>
      <c r="I72" s="168">
        <v>2</v>
      </c>
      <c r="J72" s="169">
        <v>0</v>
      </c>
      <c r="K72" s="169">
        <v>2</v>
      </c>
      <c r="L72" s="170"/>
      <c r="M72" s="140"/>
      <c r="N72" s="223"/>
      <c r="O72" s="18">
        <f t="shared" si="20"/>
        <v>0</v>
      </c>
      <c r="P72" s="279"/>
      <c r="Q72" s="280"/>
      <c r="R72" s="21"/>
      <c r="S72" s="280"/>
      <c r="T72" s="280"/>
      <c r="U72" s="21"/>
      <c r="V72" s="21">
        <f t="shared" si="21"/>
        <v>0</v>
      </c>
      <c r="W72" s="249" t="e">
        <f t="shared" si="22"/>
        <v>#DIV/0!</v>
      </c>
      <c r="X72" s="249" t="e">
        <f t="shared" si="23"/>
        <v>#DIV/0!</v>
      </c>
      <c r="Y72" s="12">
        <f t="shared" si="24"/>
        <v>0</v>
      </c>
      <c r="Z72" s="268"/>
      <c r="AA72" s="194"/>
      <c r="AB72" s="268"/>
      <c r="AC72" s="268"/>
      <c r="AD72" s="12"/>
      <c r="AE72" s="12"/>
      <c r="AF72" s="306"/>
    </row>
    <row r="73" spans="1:32" ht="15" x14ac:dyDescent="0.25">
      <c r="A73" s="301" t="s">
        <v>227</v>
      </c>
      <c r="B73" s="166">
        <v>6171</v>
      </c>
      <c r="C73" s="162">
        <v>5194</v>
      </c>
      <c r="D73" s="167">
        <v>1901</v>
      </c>
      <c r="E73" s="167"/>
      <c r="F73" s="163" t="s">
        <v>49</v>
      </c>
      <c r="G73" s="164">
        <v>39</v>
      </c>
      <c r="H73" s="170">
        <v>55</v>
      </c>
      <c r="I73" s="168">
        <f>H73</f>
        <v>55</v>
      </c>
      <c r="J73" s="168">
        <v>9</v>
      </c>
      <c r="K73" s="169">
        <v>45</v>
      </c>
      <c r="L73" s="170"/>
      <c r="M73" s="146"/>
      <c r="N73" s="229"/>
      <c r="O73" s="18">
        <f t="shared" si="20"/>
        <v>0</v>
      </c>
      <c r="P73" s="288"/>
      <c r="Q73" s="289"/>
      <c r="R73" s="21">
        <v>2</v>
      </c>
      <c r="S73" s="289"/>
      <c r="T73" s="289"/>
      <c r="U73" s="21">
        <f>1</f>
        <v>1</v>
      </c>
      <c r="V73" s="21">
        <f t="shared" si="21"/>
        <v>3</v>
      </c>
      <c r="W73" s="249" t="e">
        <f t="shared" si="22"/>
        <v>#DIV/0!</v>
      </c>
      <c r="X73" s="249" t="e">
        <f t="shared" si="23"/>
        <v>#DIV/0!</v>
      </c>
      <c r="Y73" s="12">
        <f t="shared" si="24"/>
        <v>-3</v>
      </c>
      <c r="Z73" s="268"/>
      <c r="AA73" s="194"/>
      <c r="AB73" s="268"/>
      <c r="AC73" s="268"/>
      <c r="AD73" s="12"/>
      <c r="AE73" s="12"/>
      <c r="AF73" s="306"/>
    </row>
    <row r="74" spans="1:32" ht="15" x14ac:dyDescent="0.25">
      <c r="A74" s="301" t="s">
        <v>23</v>
      </c>
      <c r="B74" s="187">
        <v>6171</v>
      </c>
      <c r="C74" s="161">
        <v>5229</v>
      </c>
      <c r="D74" s="167">
        <v>190101</v>
      </c>
      <c r="E74" s="167"/>
      <c r="F74" s="163" t="s">
        <v>34</v>
      </c>
      <c r="G74" s="164">
        <v>18</v>
      </c>
      <c r="H74" s="164">
        <v>18</v>
      </c>
      <c r="I74" s="175">
        <f>H74</f>
        <v>18</v>
      </c>
      <c r="J74" s="175">
        <v>17</v>
      </c>
      <c r="K74" s="175">
        <v>18</v>
      </c>
      <c r="L74" s="175"/>
      <c r="M74" s="147"/>
      <c r="N74" s="230"/>
      <c r="O74" s="18">
        <f t="shared" si="20"/>
        <v>0</v>
      </c>
      <c r="P74" s="290"/>
      <c r="Q74" s="291"/>
      <c r="R74" s="21"/>
      <c r="S74" s="291"/>
      <c r="T74" s="291"/>
      <c r="U74" s="21"/>
      <c r="V74" s="21">
        <f t="shared" si="21"/>
        <v>0</v>
      </c>
      <c r="W74" s="249" t="e">
        <f t="shared" si="22"/>
        <v>#DIV/0!</v>
      </c>
      <c r="X74" s="249" t="e">
        <f t="shared" si="23"/>
        <v>#DIV/0!</v>
      </c>
      <c r="Y74" s="12">
        <f t="shared" si="24"/>
        <v>0</v>
      </c>
      <c r="Z74" s="268"/>
      <c r="AA74" s="194"/>
      <c r="AB74" s="268"/>
      <c r="AC74" s="268"/>
      <c r="AD74" s="12"/>
      <c r="AE74" s="12"/>
      <c r="AF74" s="306"/>
    </row>
    <row r="75" spans="1:32" ht="15" x14ac:dyDescent="0.25">
      <c r="A75" s="301" t="s">
        <v>23</v>
      </c>
      <c r="B75" s="166">
        <v>6171</v>
      </c>
      <c r="C75" s="162">
        <v>5229</v>
      </c>
      <c r="D75" s="167">
        <v>190102</v>
      </c>
      <c r="E75" s="167"/>
      <c r="F75" s="163" t="s">
        <v>423</v>
      </c>
      <c r="G75" s="164">
        <v>110</v>
      </c>
      <c r="H75" s="164">
        <v>110</v>
      </c>
      <c r="I75" s="175">
        <f>H75</f>
        <v>110</v>
      </c>
      <c r="J75" s="175">
        <v>110</v>
      </c>
      <c r="K75" s="175">
        <v>110</v>
      </c>
      <c r="L75" s="175"/>
      <c r="M75" s="147"/>
      <c r="N75" s="230"/>
      <c r="O75" s="18">
        <f t="shared" si="20"/>
        <v>0</v>
      </c>
      <c r="P75" s="290"/>
      <c r="Q75" s="291"/>
      <c r="R75" s="21">
        <v>55</v>
      </c>
      <c r="S75" s="291"/>
      <c r="T75" s="291"/>
      <c r="U75" s="21"/>
      <c r="V75" s="21">
        <f t="shared" si="21"/>
        <v>55</v>
      </c>
      <c r="W75" s="249" t="e">
        <f t="shared" si="22"/>
        <v>#DIV/0!</v>
      </c>
      <c r="X75" s="249" t="e">
        <f t="shared" si="23"/>
        <v>#DIV/0!</v>
      </c>
      <c r="Y75" s="12">
        <f t="shared" si="24"/>
        <v>-55</v>
      </c>
      <c r="Z75" s="268"/>
      <c r="AA75" s="194"/>
      <c r="AB75" s="268"/>
      <c r="AC75" s="268"/>
      <c r="AD75" s="12"/>
      <c r="AE75" s="12"/>
      <c r="AF75" s="306"/>
    </row>
    <row r="76" spans="1:32" ht="15" x14ac:dyDescent="0.25">
      <c r="A76" s="301" t="s">
        <v>23</v>
      </c>
      <c r="B76" s="166">
        <v>6171</v>
      </c>
      <c r="C76" s="162">
        <v>5229</v>
      </c>
      <c r="D76" s="167">
        <v>190103</v>
      </c>
      <c r="E76" s="167"/>
      <c r="F76" s="163" t="s">
        <v>32</v>
      </c>
      <c r="G76" s="164">
        <v>108</v>
      </c>
      <c r="H76" s="164">
        <v>108</v>
      </c>
      <c r="I76" s="175">
        <f>H76</f>
        <v>108</v>
      </c>
      <c r="J76" s="175">
        <v>52</v>
      </c>
      <c r="K76" s="175">
        <v>108</v>
      </c>
      <c r="L76" s="175"/>
      <c r="M76" s="148">
        <f>SUM(L74:L76)</f>
        <v>0</v>
      </c>
      <c r="N76" s="231"/>
      <c r="O76" s="18">
        <f t="shared" si="20"/>
        <v>0</v>
      </c>
      <c r="P76" s="292">
        <f>SUM(O74:O76)</f>
        <v>0</v>
      </c>
      <c r="Q76" s="291"/>
      <c r="R76" s="21"/>
      <c r="S76" s="292">
        <f>SUM(R74:R76)</f>
        <v>55</v>
      </c>
      <c r="T76" s="291"/>
      <c r="U76" s="21">
        <f>52</f>
        <v>52</v>
      </c>
      <c r="V76" s="21">
        <f t="shared" si="21"/>
        <v>52</v>
      </c>
      <c r="W76" s="249" t="e">
        <f t="shared" si="22"/>
        <v>#DIV/0!</v>
      </c>
      <c r="X76" s="249" t="e">
        <f t="shared" si="23"/>
        <v>#DIV/0!</v>
      </c>
      <c r="Y76" s="12">
        <f t="shared" si="24"/>
        <v>-52</v>
      </c>
      <c r="Z76" s="268"/>
      <c r="AA76" s="194"/>
      <c r="AB76" s="268"/>
      <c r="AC76" s="268"/>
      <c r="AD76" s="12"/>
      <c r="AE76" s="12"/>
      <c r="AF76" s="306"/>
    </row>
    <row r="77" spans="1:32" ht="15" x14ac:dyDescent="0.25">
      <c r="A77" s="302" t="s">
        <v>413</v>
      </c>
      <c r="B77" s="166">
        <v>6171</v>
      </c>
      <c r="C77" s="162">
        <v>5362</v>
      </c>
      <c r="D77" s="167">
        <v>1901</v>
      </c>
      <c r="E77" s="167"/>
      <c r="F77" s="163" t="s">
        <v>412</v>
      </c>
      <c r="G77" s="163">
        <v>0</v>
      </c>
      <c r="H77" s="164">
        <v>4</v>
      </c>
      <c r="I77" s="168">
        <v>4</v>
      </c>
      <c r="J77" s="169">
        <v>3</v>
      </c>
      <c r="K77" s="169">
        <v>4</v>
      </c>
      <c r="L77" s="170"/>
      <c r="M77" s="143">
        <f>SUM(L36,L40,L67,L72,L77)</f>
        <v>0</v>
      </c>
      <c r="N77" s="226"/>
      <c r="O77" s="18">
        <f t="shared" si="20"/>
        <v>0</v>
      </c>
      <c r="P77" s="293">
        <f>SUM(O36,O40,O67,O72,O77)</f>
        <v>0</v>
      </c>
      <c r="Q77" s="280"/>
      <c r="R77" s="21"/>
      <c r="S77" s="293">
        <f>SUM(R36,R40,R67,R72,R77)</f>
        <v>11</v>
      </c>
      <c r="T77" s="280"/>
      <c r="U77" s="21"/>
      <c r="V77" s="21">
        <f t="shared" si="21"/>
        <v>0</v>
      </c>
      <c r="W77" s="249" t="e">
        <f t="shared" si="22"/>
        <v>#DIV/0!</v>
      </c>
      <c r="X77" s="249" t="e">
        <f t="shared" si="23"/>
        <v>#DIV/0!</v>
      </c>
      <c r="Y77" s="12">
        <f t="shared" si="24"/>
        <v>0</v>
      </c>
      <c r="Z77" s="268"/>
      <c r="AA77" s="194"/>
      <c r="AB77" s="268"/>
      <c r="AC77" s="268"/>
      <c r="AD77" s="12"/>
      <c r="AE77" s="12"/>
      <c r="AF77" s="306"/>
    </row>
    <row r="78" spans="1:32" ht="15" x14ac:dyDescent="0.25">
      <c r="A78" s="301" t="s">
        <v>23</v>
      </c>
      <c r="B78" s="166">
        <v>6171</v>
      </c>
      <c r="C78" s="162">
        <v>5429</v>
      </c>
      <c r="D78" s="167">
        <v>1901</v>
      </c>
      <c r="E78" s="167"/>
      <c r="F78" s="163" t="s">
        <v>322</v>
      </c>
      <c r="G78" s="176">
        <v>0</v>
      </c>
      <c r="H78" s="176">
        <v>2</v>
      </c>
      <c r="I78" s="174">
        <f>H78</f>
        <v>2</v>
      </c>
      <c r="J78" s="174">
        <v>0</v>
      </c>
      <c r="K78" s="174">
        <v>2</v>
      </c>
      <c r="L78" s="175"/>
      <c r="M78" s="149">
        <f>SUM(L68,L69,L78)</f>
        <v>0</v>
      </c>
      <c r="N78" s="228"/>
      <c r="O78" s="18">
        <f t="shared" si="20"/>
        <v>0</v>
      </c>
      <c r="P78" s="294">
        <f>SUM(O68,O69,O78)</f>
        <v>0</v>
      </c>
      <c r="Q78" s="286"/>
      <c r="R78" s="21"/>
      <c r="S78" s="294">
        <f>SUM(R68,R69,R78)</f>
        <v>0</v>
      </c>
      <c r="T78" s="286"/>
      <c r="U78" s="21"/>
      <c r="V78" s="21">
        <f t="shared" si="21"/>
        <v>0</v>
      </c>
      <c r="W78" s="249" t="e">
        <f t="shared" si="22"/>
        <v>#DIV/0!</v>
      </c>
      <c r="X78" s="249" t="e">
        <f t="shared" si="23"/>
        <v>#DIV/0!</v>
      </c>
      <c r="Y78" s="12">
        <f t="shared" si="24"/>
        <v>0</v>
      </c>
      <c r="Z78" s="268"/>
      <c r="AA78" s="194"/>
      <c r="AB78" s="268"/>
      <c r="AC78" s="268"/>
      <c r="AD78" s="12"/>
      <c r="AE78" s="12"/>
      <c r="AF78" s="306"/>
    </row>
    <row r="79" spans="1:32" ht="15" x14ac:dyDescent="0.25">
      <c r="A79" s="301" t="s">
        <v>227</v>
      </c>
      <c r="B79" s="166">
        <v>6171</v>
      </c>
      <c r="C79" s="162">
        <v>5492</v>
      </c>
      <c r="D79" s="167">
        <v>1901</v>
      </c>
      <c r="E79" s="167"/>
      <c r="F79" s="163" t="s">
        <v>143</v>
      </c>
      <c r="G79" s="164">
        <v>2</v>
      </c>
      <c r="H79" s="170">
        <v>2</v>
      </c>
      <c r="I79" s="168">
        <f>H79</f>
        <v>2</v>
      </c>
      <c r="J79" s="168">
        <v>2</v>
      </c>
      <c r="K79" s="169">
        <v>2</v>
      </c>
      <c r="L79" s="170"/>
      <c r="M79" s="150">
        <f>SUM(L73,L79)</f>
        <v>0</v>
      </c>
      <c r="N79" s="218"/>
      <c r="O79" s="18">
        <f t="shared" si="20"/>
        <v>0</v>
      </c>
      <c r="P79" s="242">
        <f>SUM(O73,O79)</f>
        <v>0</v>
      </c>
      <c r="Q79" s="289"/>
      <c r="R79" s="21"/>
      <c r="S79" s="242">
        <f>SUM(R73,R79)</f>
        <v>2</v>
      </c>
      <c r="T79" s="289"/>
      <c r="U79" s="21"/>
      <c r="V79" s="21">
        <f t="shared" si="21"/>
        <v>0</v>
      </c>
      <c r="W79" s="249" t="e">
        <f t="shared" si="22"/>
        <v>#DIV/0!</v>
      </c>
      <c r="X79" s="249" t="e">
        <f t="shared" si="23"/>
        <v>#DIV/0!</v>
      </c>
      <c r="Y79" s="12">
        <f t="shared" si="24"/>
        <v>0</v>
      </c>
      <c r="Z79" s="268"/>
      <c r="AA79" s="194"/>
      <c r="AB79" s="268"/>
      <c r="AC79" s="268"/>
      <c r="AD79" s="12"/>
      <c r="AE79" s="12"/>
      <c r="AF79" s="306"/>
    </row>
    <row r="80" spans="1:32" ht="15" x14ac:dyDescent="0.25">
      <c r="A80" s="301" t="s">
        <v>442</v>
      </c>
      <c r="B80" s="166">
        <v>6171</v>
      </c>
      <c r="C80" s="162">
        <v>5499</v>
      </c>
      <c r="D80" s="167">
        <v>1913</v>
      </c>
      <c r="E80" s="167">
        <v>1913</v>
      </c>
      <c r="F80" s="163" t="s">
        <v>466</v>
      </c>
      <c r="G80" s="164">
        <v>6</v>
      </c>
      <c r="H80" s="164">
        <v>15</v>
      </c>
      <c r="I80" s="175">
        <f>H80</f>
        <v>15</v>
      </c>
      <c r="J80" s="175">
        <v>15</v>
      </c>
      <c r="K80" s="175">
        <v>15</v>
      </c>
      <c r="L80" s="175"/>
      <c r="M80" s="138"/>
      <c r="N80" s="221"/>
      <c r="O80" s="18">
        <f t="shared" si="20"/>
        <v>0</v>
      </c>
      <c r="P80" s="277"/>
      <c r="Q80" s="278"/>
      <c r="R80" s="21"/>
      <c r="S80" s="278"/>
      <c r="T80" s="278"/>
      <c r="U80" s="21"/>
      <c r="V80" s="21">
        <f t="shared" si="21"/>
        <v>0</v>
      </c>
      <c r="W80" s="249" t="e">
        <f t="shared" si="22"/>
        <v>#DIV/0!</v>
      </c>
      <c r="X80" s="249" t="e">
        <f t="shared" si="23"/>
        <v>#DIV/0!</v>
      </c>
      <c r="Y80" s="12">
        <f t="shared" si="24"/>
        <v>0</v>
      </c>
      <c r="Z80" s="268"/>
      <c r="AA80" s="194"/>
      <c r="AB80" s="268"/>
      <c r="AC80" s="268"/>
      <c r="AD80" s="12"/>
      <c r="AE80" s="12"/>
      <c r="AF80" s="306"/>
    </row>
    <row r="81" spans="1:32" ht="15" x14ac:dyDescent="0.25">
      <c r="A81" s="301" t="s">
        <v>442</v>
      </c>
      <c r="B81" s="187">
        <v>6171</v>
      </c>
      <c r="C81" s="161">
        <v>5499</v>
      </c>
      <c r="D81" s="167">
        <v>191302</v>
      </c>
      <c r="E81" s="167">
        <v>1913</v>
      </c>
      <c r="F81" s="163" t="s">
        <v>184</v>
      </c>
      <c r="G81" s="164">
        <v>424</v>
      </c>
      <c r="H81" s="164">
        <f>130+58</f>
        <v>188</v>
      </c>
      <c r="I81" s="175">
        <f>H81</f>
        <v>188</v>
      </c>
      <c r="J81" s="175">
        <v>126</v>
      </c>
      <c r="K81" s="175">
        <v>188</v>
      </c>
      <c r="L81" s="175"/>
      <c r="M81" s="138"/>
      <c r="N81" s="221"/>
      <c r="O81" s="18">
        <f t="shared" si="20"/>
        <v>0</v>
      </c>
      <c r="P81" s="277"/>
      <c r="Q81" s="278"/>
      <c r="R81" s="21"/>
      <c r="S81" s="278"/>
      <c r="T81" s="278"/>
      <c r="U81" s="21"/>
      <c r="V81" s="21">
        <f t="shared" si="21"/>
        <v>0</v>
      </c>
      <c r="W81" s="249" t="e">
        <f t="shared" si="22"/>
        <v>#DIV/0!</v>
      </c>
      <c r="X81" s="249" t="e">
        <f t="shared" si="23"/>
        <v>#DIV/0!</v>
      </c>
      <c r="Y81" s="12">
        <f t="shared" si="24"/>
        <v>0</v>
      </c>
      <c r="Z81" s="268"/>
      <c r="AA81" s="194"/>
      <c r="AB81" s="268"/>
      <c r="AC81" s="268"/>
      <c r="AD81" s="12"/>
      <c r="AE81" s="12"/>
      <c r="AF81" s="306"/>
    </row>
    <row r="82" spans="1:32" ht="15" x14ac:dyDescent="0.25">
      <c r="A82" s="301" t="s">
        <v>442</v>
      </c>
      <c r="B82" s="187">
        <v>6171</v>
      </c>
      <c r="C82" s="161">
        <v>5499</v>
      </c>
      <c r="D82" s="167">
        <v>191303</v>
      </c>
      <c r="E82" s="167">
        <v>1913</v>
      </c>
      <c r="F82" s="163" t="s">
        <v>434</v>
      </c>
      <c r="G82" s="164">
        <v>0</v>
      </c>
      <c r="H82" s="164">
        <v>0</v>
      </c>
      <c r="I82" s="164">
        <f>10</f>
        <v>10</v>
      </c>
      <c r="J82" s="175">
        <v>10</v>
      </c>
      <c r="K82" s="175">
        <v>10</v>
      </c>
      <c r="L82" s="175"/>
      <c r="M82" s="138"/>
      <c r="N82" s="221"/>
      <c r="O82" s="18">
        <f t="shared" si="20"/>
        <v>0</v>
      </c>
      <c r="P82" s="277"/>
      <c r="Q82" s="278"/>
      <c r="R82" s="21"/>
      <c r="S82" s="278"/>
      <c r="T82" s="278"/>
      <c r="U82" s="21"/>
      <c r="V82" s="21">
        <f t="shared" si="21"/>
        <v>0</v>
      </c>
      <c r="W82" s="249" t="e">
        <f t="shared" si="22"/>
        <v>#DIV/0!</v>
      </c>
      <c r="X82" s="249" t="e">
        <f t="shared" si="23"/>
        <v>#DIV/0!</v>
      </c>
      <c r="Y82" s="12">
        <f t="shared" si="24"/>
        <v>0</v>
      </c>
      <c r="Z82" s="268"/>
      <c r="AA82" s="194"/>
      <c r="AB82" s="268"/>
      <c r="AC82" s="268"/>
      <c r="AD82" s="12"/>
      <c r="AE82" s="12"/>
      <c r="AF82" s="306"/>
    </row>
    <row r="83" spans="1:32" ht="15" x14ac:dyDescent="0.25">
      <c r="A83" s="301" t="s">
        <v>442</v>
      </c>
      <c r="B83" s="187">
        <v>6171</v>
      </c>
      <c r="C83" s="161">
        <v>5660</v>
      </c>
      <c r="D83" s="167">
        <v>1913</v>
      </c>
      <c r="E83" s="167">
        <v>1913</v>
      </c>
      <c r="F83" s="163" t="s">
        <v>144</v>
      </c>
      <c r="G83" s="164">
        <v>160</v>
      </c>
      <c r="H83" s="164">
        <v>150</v>
      </c>
      <c r="I83" s="175">
        <f>H83</f>
        <v>150</v>
      </c>
      <c r="J83" s="175">
        <v>150</v>
      </c>
      <c r="K83" s="175">
        <v>150</v>
      </c>
      <c r="L83" s="175"/>
      <c r="M83" s="151">
        <f>SUM(L34,L47,L71,L80:L83)</f>
        <v>0</v>
      </c>
      <c r="N83" s="221"/>
      <c r="O83" s="18">
        <f t="shared" si="20"/>
        <v>0</v>
      </c>
      <c r="P83" s="295">
        <f>SUM(O34,O47,O71,O80:O83)</f>
        <v>0</v>
      </c>
      <c r="Q83" s="278"/>
      <c r="R83" s="21"/>
      <c r="S83" s="295">
        <f>SUM(R34,R47,R71,R80:R83)</f>
        <v>19</v>
      </c>
      <c r="T83" s="278"/>
      <c r="U83" s="21"/>
      <c r="V83" s="21">
        <f t="shared" si="21"/>
        <v>0</v>
      </c>
      <c r="W83" s="249" t="e">
        <f t="shared" si="22"/>
        <v>#DIV/0!</v>
      </c>
      <c r="X83" s="249" t="e">
        <f t="shared" si="23"/>
        <v>#DIV/0!</v>
      </c>
      <c r="Y83" s="12">
        <f t="shared" si="24"/>
        <v>0</v>
      </c>
      <c r="Z83" s="268"/>
      <c r="AA83" s="194"/>
      <c r="AB83" s="268"/>
      <c r="AC83" s="268"/>
      <c r="AD83" s="12"/>
      <c r="AE83" s="12"/>
      <c r="AF83" s="306"/>
    </row>
    <row r="84" spans="1:32" ht="15" x14ac:dyDescent="0.25">
      <c r="A84" s="303" t="s">
        <v>186</v>
      </c>
      <c r="B84" s="202">
        <v>6171</v>
      </c>
      <c r="C84" s="202">
        <v>6121</v>
      </c>
      <c r="D84" s="185"/>
      <c r="E84" s="185"/>
      <c r="F84" s="185" t="s">
        <v>174</v>
      </c>
      <c r="G84" s="164"/>
      <c r="H84" s="164"/>
      <c r="I84" s="164"/>
      <c r="J84" s="164"/>
      <c r="K84" s="164"/>
      <c r="L84" s="185"/>
      <c r="M84" s="155"/>
      <c r="N84" s="47">
        <f>L84</f>
        <v>0</v>
      </c>
      <c r="O84" s="296">
        <f t="shared" si="20"/>
        <v>0</v>
      </c>
      <c r="P84" s="297"/>
      <c r="Q84" s="297">
        <f>O84</f>
        <v>0</v>
      </c>
      <c r="R84" s="275"/>
      <c r="S84" s="297"/>
      <c r="T84" s="297">
        <f>R84</f>
        <v>0</v>
      </c>
      <c r="U84" s="275"/>
      <c r="V84" s="275">
        <f t="shared" si="21"/>
        <v>0</v>
      </c>
      <c r="W84" s="250" t="e">
        <f t="shared" si="22"/>
        <v>#DIV/0!</v>
      </c>
      <c r="X84" s="250" t="e">
        <f t="shared" si="23"/>
        <v>#DIV/0!</v>
      </c>
      <c r="Y84" s="296">
        <f t="shared" si="24"/>
        <v>0</v>
      </c>
      <c r="Z84" s="268"/>
      <c r="AA84" s="194"/>
      <c r="AB84" s="268"/>
      <c r="AC84" s="268"/>
      <c r="AD84" s="12"/>
      <c r="AE84" s="12"/>
      <c r="AF84" s="306"/>
    </row>
    <row r="85" spans="1:32" ht="15" x14ac:dyDescent="0.25">
      <c r="A85" s="303" t="s">
        <v>186</v>
      </c>
      <c r="B85" s="202">
        <v>6171</v>
      </c>
      <c r="C85" s="202">
        <v>6123</v>
      </c>
      <c r="D85" s="185"/>
      <c r="E85" s="185"/>
      <c r="F85" s="201" t="s">
        <v>354</v>
      </c>
      <c r="G85" s="164"/>
      <c r="H85" s="164"/>
      <c r="I85" s="164"/>
      <c r="J85" s="164"/>
      <c r="K85" s="164"/>
      <c r="L85" s="185"/>
      <c r="M85" s="155"/>
      <c r="N85" s="47">
        <f>L85</f>
        <v>0</v>
      </c>
      <c r="O85" s="296">
        <f t="shared" si="20"/>
        <v>0</v>
      </c>
      <c r="P85" s="297"/>
      <c r="Q85" s="297">
        <f>O85</f>
        <v>0</v>
      </c>
      <c r="R85" s="298"/>
      <c r="S85" s="299"/>
      <c r="T85" s="297">
        <f>R85</f>
        <v>0</v>
      </c>
      <c r="U85" s="275"/>
      <c r="V85" s="275">
        <f t="shared" si="21"/>
        <v>0</v>
      </c>
      <c r="W85" s="250" t="e">
        <f t="shared" si="22"/>
        <v>#DIV/0!</v>
      </c>
      <c r="X85" s="250" t="e">
        <f t="shared" si="23"/>
        <v>#DIV/0!</v>
      </c>
      <c r="Y85" s="296">
        <f t="shared" si="24"/>
        <v>0</v>
      </c>
      <c r="Z85" s="268"/>
      <c r="AA85" s="194"/>
      <c r="AB85" s="268"/>
      <c r="AC85" s="268"/>
      <c r="AD85" s="12"/>
      <c r="AE85" s="12"/>
      <c r="AF85" s="306"/>
    </row>
    <row r="91" spans="1:32" ht="15" x14ac:dyDescent="0.25">
      <c r="A91" s="5" t="s">
        <v>276</v>
      </c>
      <c r="B91" s="5"/>
      <c r="C91" s="5" t="s">
        <v>68</v>
      </c>
    </row>
    <row r="92" spans="1:32" x14ac:dyDescent="0.2">
      <c r="A92" t="s">
        <v>482</v>
      </c>
      <c r="C92" s="378">
        <v>13</v>
      </c>
    </row>
    <row r="93" spans="1:32" x14ac:dyDescent="0.2">
      <c r="A93" t="s">
        <v>254</v>
      </c>
      <c r="C93" s="378">
        <v>6</v>
      </c>
    </row>
    <row r="94" spans="1:32" x14ac:dyDescent="0.2">
      <c r="A94" t="s">
        <v>210</v>
      </c>
      <c r="C94" s="378">
        <v>8</v>
      </c>
    </row>
    <row r="95" spans="1:32" x14ac:dyDescent="0.2">
      <c r="A95" t="s">
        <v>211</v>
      </c>
      <c r="C95" s="378">
        <v>10</v>
      </c>
    </row>
    <row r="96" spans="1:32" x14ac:dyDescent="0.2">
      <c r="A96" t="s">
        <v>212</v>
      </c>
      <c r="C96" s="378">
        <v>8</v>
      </c>
    </row>
    <row r="97" spans="1:4" x14ac:dyDescent="0.2">
      <c r="A97" t="s">
        <v>213</v>
      </c>
      <c r="C97" s="378">
        <v>6</v>
      </c>
    </row>
    <row r="98" spans="1:4" x14ac:dyDescent="0.2">
      <c r="A98" t="s">
        <v>40</v>
      </c>
      <c r="C98" s="378">
        <v>2</v>
      </c>
    </row>
    <row r="99" spans="1:4" x14ac:dyDescent="0.2">
      <c r="A99" t="s">
        <v>67</v>
      </c>
      <c r="C99" s="378">
        <v>0.5</v>
      </c>
    </row>
    <row r="100" spans="1:4" ht="15" x14ac:dyDescent="0.25">
      <c r="A100" s="5" t="s">
        <v>347</v>
      </c>
      <c r="B100" s="5"/>
      <c r="C100" s="379">
        <f>SUM(C92:C99)</f>
        <v>53.5</v>
      </c>
    </row>
    <row r="101" spans="1:4" x14ac:dyDescent="0.2">
      <c r="C101" s="378"/>
    </row>
    <row r="102" spans="1:4" x14ac:dyDescent="0.2">
      <c r="A102" t="s">
        <v>69</v>
      </c>
      <c r="C102" s="378">
        <v>99</v>
      </c>
      <c r="D102" s="72">
        <f>SUM(D103:D104)</f>
        <v>1</v>
      </c>
    </row>
    <row r="103" spans="1:4" x14ac:dyDescent="0.2">
      <c r="A103" t="s">
        <v>276</v>
      </c>
      <c r="C103" s="378">
        <f>C100</f>
        <v>53.5</v>
      </c>
      <c r="D103" s="72">
        <f>C103/C102</f>
        <v>0.54040404040404044</v>
      </c>
    </row>
    <row r="104" spans="1:4" x14ac:dyDescent="0.2">
      <c r="A104" t="s">
        <v>70</v>
      </c>
      <c r="C104" s="378">
        <f>C102-C103</f>
        <v>45.5</v>
      </c>
      <c r="D104" s="72">
        <f>C104/C102</f>
        <v>0.45959595959595961</v>
      </c>
    </row>
  </sheetData>
  <phoneticPr fontId="0" type="noConversion"/>
  <pageMargins left="0.78740157499999996" right="0.78740157499999996" top="0.984251969" bottom="0.984251969" header="0.4921259845" footer="0.4921259845"/>
  <pageSetup paperSize="9" scale="55" orientation="landscape" horizontalDpi="300" verticalDpi="300" r:id="rId1"/>
  <headerFooter alignWithMargins="0">
    <oddHeader>&amp;LMěsto Ostrov&amp;RStav ke dni: &amp;D</oddHeader>
    <oddFooter>&amp;LPříspěvky na státní správu v roce 2005&amp;C&amp;P&amp;RZpracoval: OF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4"/>
  <sheetViews>
    <sheetView workbookViewId="0">
      <selection activeCell="I16" sqref="I16"/>
    </sheetView>
  </sheetViews>
  <sheetFormatPr defaultRowHeight="12.75" x14ac:dyDescent="0.2"/>
  <cols>
    <col min="1" max="1" width="9.5703125" bestFit="1" customWidth="1"/>
    <col min="2" max="2" width="40.5703125" customWidth="1"/>
    <col min="3" max="3" width="9.85546875" customWidth="1"/>
    <col min="4" max="4" width="10.7109375" bestFit="1" customWidth="1"/>
    <col min="5" max="5" width="9.28515625" hidden="1" customWidth="1"/>
    <col min="6" max="6" width="10.85546875" bestFit="1" customWidth="1"/>
    <col min="7" max="7" width="8.7109375" customWidth="1"/>
    <col min="9" max="9" width="21.85546875" bestFit="1" customWidth="1"/>
  </cols>
  <sheetData>
    <row r="1" spans="1:11" x14ac:dyDescent="0.2">
      <c r="B1" s="470" t="s">
        <v>336</v>
      </c>
      <c r="C1" s="54" t="s">
        <v>53</v>
      </c>
      <c r="D1" s="54" t="s">
        <v>53</v>
      </c>
      <c r="F1" s="54" t="s">
        <v>53</v>
      </c>
    </row>
    <row r="2" spans="1:11" ht="13.5" thickBot="1" x14ac:dyDescent="0.25">
      <c r="D2" t="s">
        <v>125</v>
      </c>
      <c r="F2" t="s">
        <v>139</v>
      </c>
    </row>
    <row r="3" spans="1:11" ht="13.5" thickBot="1" x14ac:dyDescent="0.25">
      <c r="A3" s="488" t="s">
        <v>339</v>
      </c>
      <c r="B3" s="487" t="s">
        <v>327</v>
      </c>
      <c r="C3" s="488" t="s">
        <v>157</v>
      </c>
      <c r="D3" s="488" t="s">
        <v>158</v>
      </c>
      <c r="E3" s="54" t="s">
        <v>495</v>
      </c>
      <c r="F3" s="488" t="s">
        <v>328</v>
      </c>
      <c r="G3" s="488" t="s">
        <v>266</v>
      </c>
      <c r="I3" s="488" t="s">
        <v>339</v>
      </c>
      <c r="J3" s="488" t="s">
        <v>157</v>
      </c>
      <c r="K3" s="488" t="s">
        <v>158</v>
      </c>
    </row>
    <row r="4" spans="1:11" x14ac:dyDescent="0.2">
      <c r="A4" s="513" t="s">
        <v>460</v>
      </c>
      <c r="B4" s="489" t="s">
        <v>207</v>
      </c>
      <c r="C4" s="490" t="e">
        <f>SUM(#REF!,#REF!,#REF!,#REF!,#REF!)</f>
        <v>#REF!</v>
      </c>
      <c r="D4" s="491" t="e">
        <f>SUM(#REF!,#REF!,#REF!,#REF!,#REF!)</f>
        <v>#REF!</v>
      </c>
      <c r="E4" s="153" t="e">
        <f>D4/D17</f>
        <v>#REF!</v>
      </c>
      <c r="F4" s="503" t="e">
        <f>SUM(#REF!,#REF!,#REF!,#REF!,#REF!)</f>
        <v>#REF!</v>
      </c>
      <c r="G4" s="500" t="e">
        <f t="shared" ref="G4:G17" si="0">F4/D4</f>
        <v>#REF!</v>
      </c>
      <c r="I4" s="513" t="s">
        <v>460</v>
      </c>
      <c r="J4" s="503" t="e">
        <f t="shared" ref="J4:J16" si="1">C4</f>
        <v>#REF!</v>
      </c>
      <c r="K4" s="491" t="e">
        <f t="shared" ref="K4:K16" si="2">D4</f>
        <v>#REF!</v>
      </c>
    </row>
    <row r="5" spans="1:11" x14ac:dyDescent="0.2">
      <c r="A5" s="514" t="s">
        <v>397</v>
      </c>
      <c r="B5" s="492" t="s">
        <v>94</v>
      </c>
      <c r="C5" s="12" t="e">
        <f>SUM(#REF!)</f>
        <v>#REF!</v>
      </c>
      <c r="D5" s="306" t="e">
        <f>SUM(#REF!)</f>
        <v>#REF!</v>
      </c>
      <c r="E5" s="153" t="e">
        <f>D5/D17</f>
        <v>#REF!</v>
      </c>
      <c r="F5" s="504" t="e">
        <f>SUM(#REF!)</f>
        <v>#REF!</v>
      </c>
      <c r="G5" s="498" t="e">
        <f t="shared" si="0"/>
        <v>#REF!</v>
      </c>
      <c r="I5" s="514" t="s">
        <v>361</v>
      </c>
      <c r="J5" s="504" t="e">
        <f t="shared" si="1"/>
        <v>#REF!</v>
      </c>
      <c r="K5" s="306" t="e">
        <f t="shared" si="2"/>
        <v>#REF!</v>
      </c>
    </row>
    <row r="6" spans="1:11" x14ac:dyDescent="0.2">
      <c r="A6" s="514" t="s">
        <v>77</v>
      </c>
      <c r="B6" s="492" t="s">
        <v>208</v>
      </c>
      <c r="C6" s="12" t="e">
        <f>SUM(#REF!)</f>
        <v>#REF!</v>
      </c>
      <c r="D6" s="306" t="e">
        <f>SUM(#REF!)</f>
        <v>#REF!</v>
      </c>
      <c r="E6" s="153" t="e">
        <f>D6/D17</f>
        <v>#REF!</v>
      </c>
      <c r="F6" s="504" t="e">
        <f>SUM(#REF!)</f>
        <v>#REF!</v>
      </c>
      <c r="G6" s="498" t="e">
        <f t="shared" si="0"/>
        <v>#REF!</v>
      </c>
      <c r="I6" s="514" t="s">
        <v>77</v>
      </c>
      <c r="J6" s="504" t="e">
        <f t="shared" si="1"/>
        <v>#REF!</v>
      </c>
      <c r="K6" s="306" t="e">
        <f t="shared" si="2"/>
        <v>#REF!</v>
      </c>
    </row>
    <row r="7" spans="1:11" x14ac:dyDescent="0.2">
      <c r="A7" s="514" t="s">
        <v>377</v>
      </c>
      <c r="B7" s="492" t="s">
        <v>476</v>
      </c>
      <c r="C7" s="12" t="e">
        <f>SUM(#REF!)</f>
        <v>#REF!</v>
      </c>
      <c r="D7" s="306" t="e">
        <f>SUM(#REF!)</f>
        <v>#REF!</v>
      </c>
      <c r="E7" s="153" t="e">
        <f>D7/D17</f>
        <v>#REF!</v>
      </c>
      <c r="F7" s="504" t="e">
        <f>SUM(#REF!)</f>
        <v>#REF!</v>
      </c>
      <c r="G7" s="498" t="e">
        <f t="shared" si="0"/>
        <v>#REF!</v>
      </c>
      <c r="I7" s="514" t="s">
        <v>377</v>
      </c>
      <c r="J7" s="504" t="e">
        <f t="shared" si="1"/>
        <v>#REF!</v>
      </c>
      <c r="K7" s="306" t="e">
        <f t="shared" si="2"/>
        <v>#REF!</v>
      </c>
    </row>
    <row r="8" spans="1:11" x14ac:dyDescent="0.2">
      <c r="A8" s="514" t="s">
        <v>398</v>
      </c>
      <c r="B8" s="492" t="s">
        <v>346</v>
      </c>
      <c r="C8" s="12" t="e">
        <f>SUM(#REF!,#REF!)</f>
        <v>#REF!</v>
      </c>
      <c r="D8" s="306" t="e">
        <f>SUM(#REF!,#REF!)</f>
        <v>#REF!</v>
      </c>
      <c r="E8" s="153" t="e">
        <f>D8/D17</f>
        <v>#REF!</v>
      </c>
      <c r="F8" s="504" t="e">
        <f>SUM(#REF!,#REF!)</f>
        <v>#REF!</v>
      </c>
      <c r="G8" s="498" t="e">
        <f t="shared" si="0"/>
        <v>#REF!</v>
      </c>
      <c r="I8" s="514" t="s">
        <v>360</v>
      </c>
      <c r="J8" s="504" t="e">
        <f t="shared" si="1"/>
        <v>#REF!</v>
      </c>
      <c r="K8" s="306" t="e">
        <f t="shared" si="2"/>
        <v>#REF!</v>
      </c>
    </row>
    <row r="9" spans="1:11" x14ac:dyDescent="0.2">
      <c r="A9" s="514" t="s">
        <v>461</v>
      </c>
      <c r="B9" s="492" t="s">
        <v>138</v>
      </c>
      <c r="C9" s="12" t="e">
        <f>SUM(#REF!)</f>
        <v>#REF!</v>
      </c>
      <c r="D9" s="306" t="e">
        <f>SUM(#REF!)</f>
        <v>#REF!</v>
      </c>
      <c r="E9" s="153" t="e">
        <f>D9/D17</f>
        <v>#REF!</v>
      </c>
      <c r="F9" s="504" t="e">
        <f>SUM(#REF!)</f>
        <v>#REF!</v>
      </c>
      <c r="G9" s="498" t="e">
        <f t="shared" si="0"/>
        <v>#REF!</v>
      </c>
      <c r="I9" s="514" t="s">
        <v>26</v>
      </c>
      <c r="J9" s="504" t="e">
        <f t="shared" si="1"/>
        <v>#REF!</v>
      </c>
      <c r="K9" s="306" t="e">
        <f t="shared" si="2"/>
        <v>#REF!</v>
      </c>
    </row>
    <row r="10" spans="1:11" x14ac:dyDescent="0.2">
      <c r="A10" s="514" t="s">
        <v>462</v>
      </c>
      <c r="B10" s="492" t="s">
        <v>408</v>
      </c>
      <c r="C10" s="12" t="e">
        <f>SUM(#REF!)</f>
        <v>#REF!</v>
      </c>
      <c r="D10" s="306" t="e">
        <f>SUM(#REF!)</f>
        <v>#REF!</v>
      </c>
      <c r="E10" s="153" t="e">
        <f>D10/D17</f>
        <v>#REF!</v>
      </c>
      <c r="F10" s="504" t="e">
        <f>SUM(#REF!)</f>
        <v>#REF!</v>
      </c>
      <c r="G10" s="498" t="e">
        <f t="shared" si="0"/>
        <v>#REF!</v>
      </c>
      <c r="I10" s="514" t="s">
        <v>408</v>
      </c>
      <c r="J10" s="504" t="e">
        <f t="shared" si="1"/>
        <v>#REF!</v>
      </c>
      <c r="K10" s="306" t="e">
        <f t="shared" si="2"/>
        <v>#REF!</v>
      </c>
    </row>
    <row r="11" spans="1:11" x14ac:dyDescent="0.2">
      <c r="A11" s="514" t="s">
        <v>463</v>
      </c>
      <c r="B11" s="492" t="s">
        <v>137</v>
      </c>
      <c r="C11" s="12" t="e">
        <f>SUM(#REF!)</f>
        <v>#REF!</v>
      </c>
      <c r="D11" s="306" t="e">
        <f>SUM(#REF!)</f>
        <v>#REF!</v>
      </c>
      <c r="E11" s="153" t="e">
        <f>D11/D17</f>
        <v>#REF!</v>
      </c>
      <c r="F11" s="504" t="e">
        <f>SUM(#REF!)</f>
        <v>#REF!</v>
      </c>
      <c r="G11" s="498" t="e">
        <f t="shared" si="0"/>
        <v>#REF!</v>
      </c>
      <c r="I11" s="514" t="s">
        <v>362</v>
      </c>
      <c r="J11" s="504" t="e">
        <f t="shared" si="1"/>
        <v>#REF!</v>
      </c>
      <c r="K11" s="306" t="e">
        <f t="shared" si="2"/>
        <v>#REF!</v>
      </c>
    </row>
    <row r="12" spans="1:11" x14ac:dyDescent="0.2">
      <c r="A12" s="514" t="s">
        <v>394</v>
      </c>
      <c r="B12" s="492" t="s">
        <v>17</v>
      </c>
      <c r="C12" s="12" t="e">
        <f>SUM(#REF!,#REF!,#REF!)</f>
        <v>#REF!</v>
      </c>
      <c r="D12" s="306" t="e">
        <f>SUM(#REF!)</f>
        <v>#REF!</v>
      </c>
      <c r="E12" s="153" t="e">
        <f>D12/D17</f>
        <v>#REF!</v>
      </c>
      <c r="F12" s="504" t="e">
        <f>SUM(#REF!)</f>
        <v>#REF!</v>
      </c>
      <c r="G12" s="498" t="e">
        <f t="shared" si="0"/>
        <v>#REF!</v>
      </c>
      <c r="I12" s="514" t="s">
        <v>17</v>
      </c>
      <c r="J12" s="504" t="e">
        <f t="shared" si="1"/>
        <v>#REF!</v>
      </c>
      <c r="K12" s="306" t="e">
        <f t="shared" si="2"/>
        <v>#REF!</v>
      </c>
    </row>
    <row r="13" spans="1:11" x14ac:dyDescent="0.2">
      <c r="A13" s="514" t="s">
        <v>396</v>
      </c>
      <c r="B13" s="492" t="s">
        <v>477</v>
      </c>
      <c r="C13" s="12" t="e">
        <f>SUM(#REF!,#REF!,#REF!,#REF!,#REF!,#REF!,#REF!,#REF!,#REF!,#REF!,#REF!,#REF!,#REF!,#REF!,#REF!,#REF!,#REF!,#REF!,#REF!,#REF!)</f>
        <v>#REF!</v>
      </c>
      <c r="D13" s="306" t="e">
        <f>SUM(#REF!,#REF!,#REF!,#REF!,#REF!,#REF!,#REF!,#REF!,#REF!,#REF!,#REF!,#REF!,#REF!,#REF!,#REF!,#REF!,#REF!,#REF!,#REF!,#REF!)</f>
        <v>#REF!</v>
      </c>
      <c r="E13" s="153" t="e">
        <f>D13/D17</f>
        <v>#REF!</v>
      </c>
      <c r="F13" s="504" t="e">
        <f>SUM(#REF!,#REF!,#REF!,#REF!,#REF!,#REF!,#REF!,#REF!,#REF!,#REF!,#REF!,#REF!,#REF!,#REF!,#REF!,#REF!,#REF!,#REF!,#REF!,#REF!)</f>
        <v>#REF!</v>
      </c>
      <c r="G13" s="498" t="e">
        <f t="shared" si="0"/>
        <v>#REF!</v>
      </c>
      <c r="I13" s="514" t="s">
        <v>363</v>
      </c>
      <c r="J13" s="504" t="e">
        <f t="shared" si="1"/>
        <v>#REF!</v>
      </c>
      <c r="K13" s="306" t="e">
        <f t="shared" si="2"/>
        <v>#REF!</v>
      </c>
    </row>
    <row r="14" spans="1:11" x14ac:dyDescent="0.2">
      <c r="A14" s="514" t="s">
        <v>310</v>
      </c>
      <c r="B14" s="492" t="s">
        <v>470</v>
      </c>
      <c r="C14" s="12" t="e">
        <f>SUM(#REF!)</f>
        <v>#REF!</v>
      </c>
      <c r="D14" s="306" t="e">
        <f>SUM(#REF!)</f>
        <v>#REF!</v>
      </c>
      <c r="E14" s="153" t="e">
        <f>D14/D17</f>
        <v>#REF!</v>
      </c>
      <c r="F14" s="504" t="e">
        <f>SUM(#REF!)</f>
        <v>#REF!</v>
      </c>
      <c r="G14" s="498" t="e">
        <f t="shared" si="0"/>
        <v>#REF!</v>
      </c>
      <c r="I14" s="514" t="s">
        <v>470</v>
      </c>
      <c r="J14" s="504" t="e">
        <f t="shared" si="1"/>
        <v>#REF!</v>
      </c>
      <c r="K14" s="306" t="e">
        <f t="shared" si="2"/>
        <v>#REF!</v>
      </c>
    </row>
    <row r="15" spans="1:11" x14ac:dyDescent="0.2">
      <c r="A15" s="514" t="s">
        <v>311</v>
      </c>
      <c r="B15" s="492" t="s">
        <v>415</v>
      </c>
      <c r="C15" s="12" t="e">
        <f>SUM(#REF!)</f>
        <v>#REF!</v>
      </c>
      <c r="D15" s="306" t="e">
        <f>SUM(#REF!)</f>
        <v>#REF!</v>
      </c>
      <c r="E15" s="153" t="e">
        <f>D15/D17</f>
        <v>#REF!</v>
      </c>
      <c r="F15" s="504" t="e">
        <f>SUM(#REF!)</f>
        <v>#REF!</v>
      </c>
      <c r="G15" s="498" t="e">
        <f t="shared" si="0"/>
        <v>#REF!</v>
      </c>
      <c r="I15" s="514" t="s">
        <v>364</v>
      </c>
      <c r="J15" s="504" t="e">
        <f t="shared" si="1"/>
        <v>#REF!</v>
      </c>
      <c r="K15" s="306" t="e">
        <f t="shared" si="2"/>
        <v>#REF!</v>
      </c>
    </row>
    <row r="16" spans="1:11" ht="13.5" thickBot="1" x14ac:dyDescent="0.25">
      <c r="A16" s="515" t="s">
        <v>395</v>
      </c>
      <c r="B16" s="493" t="s">
        <v>317</v>
      </c>
      <c r="C16" s="372" t="e">
        <f>SUM(#REF!,#REF!,#REF!,#REF!,#REF!)</f>
        <v>#REF!</v>
      </c>
      <c r="D16" s="494" t="e">
        <f>SUM(#REF!,#REF!,#REF!,#REF!,#REF!)</f>
        <v>#REF!</v>
      </c>
      <c r="E16" s="153" t="e">
        <f>D16/D17</f>
        <v>#REF!</v>
      </c>
      <c r="F16" s="505" t="e">
        <f>SUM(#REF!,#REF!,#REF!,#REF!)</f>
        <v>#REF!</v>
      </c>
      <c r="G16" s="501" t="e">
        <f t="shared" si="0"/>
        <v>#REF!</v>
      </c>
      <c r="I16" s="515" t="s">
        <v>317</v>
      </c>
      <c r="J16" s="505" t="e">
        <f t="shared" si="1"/>
        <v>#REF!</v>
      </c>
      <c r="K16" s="494" t="e">
        <f t="shared" si="2"/>
        <v>#REF!</v>
      </c>
    </row>
    <row r="17" spans="2:11" ht="15.75" x14ac:dyDescent="0.25">
      <c r="B17" s="467" t="s">
        <v>334</v>
      </c>
      <c r="C17" s="468" t="e">
        <f>SUM(C4:C16)</f>
        <v>#REF!</v>
      </c>
      <c r="D17" s="468" t="e">
        <f>SUM(D4:D16)</f>
        <v>#REF!</v>
      </c>
      <c r="E17" s="469" t="e">
        <f>SUM(E4:E16)</f>
        <v>#REF!</v>
      </c>
      <c r="F17" s="468" t="e">
        <f>SUM(F4:F16)</f>
        <v>#REF!</v>
      </c>
      <c r="G17" s="502" t="e">
        <f t="shared" si="0"/>
        <v>#REF!</v>
      </c>
      <c r="J17" s="4" t="e">
        <f>SUM(J4:J16)</f>
        <v>#REF!</v>
      </c>
      <c r="K17" s="4" t="e">
        <f>SUM(K4:K16)</f>
        <v>#REF!</v>
      </c>
    </row>
    <row r="18" spans="2:11" ht="13.5" thickBot="1" x14ac:dyDescent="0.25"/>
    <row r="19" spans="2:11" x14ac:dyDescent="0.2">
      <c r="B19" s="489" t="s">
        <v>326</v>
      </c>
      <c r="C19" s="490" t="e">
        <f>SUM(C4,C5,C6,C7,C8,C9,C10,C13,C14,C15)</f>
        <v>#REF!</v>
      </c>
      <c r="D19" s="491" t="e">
        <f>SUM(D4,D5,D6,D7,D8,D9,D10,D13,D14,D15)</f>
        <v>#REF!</v>
      </c>
      <c r="F19" s="506" t="e">
        <f>SUM(F4,F5,F6,F7,F8,F9,F10,F13,F14,F15)</f>
        <v>#REF!</v>
      </c>
      <c r="G19" s="500" t="e">
        <f>F19/D19</f>
        <v>#REF!</v>
      </c>
    </row>
    <row r="20" spans="2:11" x14ac:dyDescent="0.2">
      <c r="B20" s="492" t="s">
        <v>373</v>
      </c>
      <c r="C20" s="495" t="e">
        <f>SUM(C11)</f>
        <v>#REF!</v>
      </c>
      <c r="D20" s="496" t="e">
        <f>SUM(D11)</f>
        <v>#REF!</v>
      </c>
      <c r="F20" s="507" t="e">
        <f>SUM(F11)</f>
        <v>#REF!</v>
      </c>
      <c r="G20" s="501" t="e">
        <f>F20/D20</f>
        <v>#REF!</v>
      </c>
    </row>
    <row r="21" spans="2:11" x14ac:dyDescent="0.2">
      <c r="B21" s="492" t="s">
        <v>335</v>
      </c>
      <c r="C21" s="12" t="e">
        <f>SUM(C12)</f>
        <v>#REF!</v>
      </c>
      <c r="D21" s="306" t="e">
        <f>SUM(D12)</f>
        <v>#REF!</v>
      </c>
      <c r="F21" s="472" t="e">
        <f>SUM(F12)</f>
        <v>#REF!</v>
      </c>
      <c r="G21" s="498" t="e">
        <f>F21/D21</f>
        <v>#REF!</v>
      </c>
    </row>
    <row r="22" spans="2:11" ht="13.5" thickBot="1" x14ac:dyDescent="0.25">
      <c r="B22" s="493" t="s">
        <v>372</v>
      </c>
      <c r="C22" s="372" t="e">
        <f>SUM(C16)</f>
        <v>#REF!</v>
      </c>
      <c r="D22" s="494" t="e">
        <f>SUM(D16)</f>
        <v>#REF!</v>
      </c>
      <c r="F22" s="508" t="e">
        <f>SUM(F16)</f>
        <v>#REF!</v>
      </c>
      <c r="G22" s="509" t="e">
        <f>F22/D22</f>
        <v>#REF!</v>
      </c>
    </row>
    <row r="23" spans="2:11" x14ac:dyDescent="0.2">
      <c r="B23" s="65" t="s">
        <v>334</v>
      </c>
      <c r="C23" s="103" t="e">
        <f>SUM(C19:C22)</f>
        <v>#REF!</v>
      </c>
      <c r="D23" s="103" t="e">
        <f>SUM(D19:D22)</f>
        <v>#REF!</v>
      </c>
      <c r="F23" s="103" t="e">
        <f>SUM(F19:F22)</f>
        <v>#REF!</v>
      </c>
      <c r="G23" s="502" t="e">
        <f>F23/D23</f>
        <v>#REF!</v>
      </c>
    </row>
    <row r="24" spans="2:11" ht="13.5" thickBot="1" x14ac:dyDescent="0.25">
      <c r="C24" s="4"/>
    </row>
    <row r="25" spans="2:11" x14ac:dyDescent="0.2">
      <c r="B25" s="489" t="s">
        <v>329</v>
      </c>
      <c r="C25" s="490" t="e">
        <f>SUM(C4,C5,C6,C7,C8,C9)</f>
        <v>#REF!</v>
      </c>
      <c r="D25" s="490" t="e">
        <f>SUM(D4,D5,D6,D7,D8,D9)</f>
        <v>#REF!</v>
      </c>
      <c r="E25" s="510"/>
      <c r="F25" s="503" t="e">
        <f>SUM(F4,F5,F6,F7,F8,F9)</f>
        <v>#REF!</v>
      </c>
      <c r="G25" s="497" t="e">
        <f>F25/D25</f>
        <v>#REF!</v>
      </c>
    </row>
    <row r="26" spans="2:11" ht="13.5" thickBot="1" x14ac:dyDescent="0.25">
      <c r="B26" s="493" t="s">
        <v>330</v>
      </c>
      <c r="C26" s="372" t="e">
        <f>SUM(C10,C13,C14,C15)</f>
        <v>#REF!</v>
      </c>
      <c r="D26" s="372" t="e">
        <f>SUM(D10,D13,D14,D15)</f>
        <v>#REF!</v>
      </c>
      <c r="E26" s="511"/>
      <c r="F26" s="505" t="e">
        <f>SUM(F10,F13,F14,F15)</f>
        <v>#REF!</v>
      </c>
      <c r="G26" s="499" t="e">
        <f>F26/D26</f>
        <v>#REF!</v>
      </c>
    </row>
    <row r="27" spans="2:11" x14ac:dyDescent="0.2">
      <c r="C27" s="4"/>
    </row>
    <row r="28" spans="2:11" x14ac:dyDescent="0.2">
      <c r="C28" s="4"/>
    </row>
    <row r="29" spans="2:11" x14ac:dyDescent="0.2">
      <c r="C29" s="4"/>
    </row>
    <row r="30" spans="2:11" x14ac:dyDescent="0.2">
      <c r="C30" s="4"/>
    </row>
    <row r="31" spans="2:11" x14ac:dyDescent="0.2">
      <c r="C31" s="4"/>
    </row>
    <row r="32" spans="2:11" x14ac:dyDescent="0.2">
      <c r="C32" s="4"/>
    </row>
    <row r="33" spans="2:3" x14ac:dyDescent="0.2">
      <c r="C33" s="4"/>
    </row>
    <row r="34" spans="2:3" x14ac:dyDescent="0.2">
      <c r="B34" s="65"/>
      <c r="C34" s="103"/>
    </row>
  </sheetData>
  <phoneticPr fontId="0" type="noConversion"/>
  <pageMargins left="0.78740157499999996" right="0.78740157499999996" top="0.984251969" bottom="0.984251969" header="0.4921259845" footer="0.4921259845"/>
  <pageSetup paperSize="9" scale="85" orientation="portrait" horizontalDpi="300" verticalDpi="300" r:id="rId1"/>
  <headerFooter alignWithMargins="0">
    <oddHeader>&amp;LMsto Ostrov&amp;RStav ke dni: &amp;D</oddHeader>
    <oddFooter>&amp;LPříjmy 2005&amp;C&amp;P&amp;RZpracoval: OF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0"/>
  <sheetViews>
    <sheetView workbookViewId="0">
      <selection activeCell="B9" sqref="B9"/>
    </sheetView>
  </sheetViews>
  <sheetFormatPr defaultRowHeight="12.75" x14ac:dyDescent="0.2"/>
  <cols>
    <col min="2" max="2" width="48.28515625" bestFit="1" customWidth="1"/>
    <col min="4" max="4" width="10.7109375" bestFit="1" customWidth="1"/>
    <col min="5" max="5" width="10.85546875" bestFit="1" customWidth="1"/>
    <col min="6" max="6" width="9.85546875" bestFit="1" customWidth="1"/>
  </cols>
  <sheetData>
    <row r="1" spans="1:6" x14ac:dyDescent="0.2">
      <c r="A1" s="470" t="s">
        <v>337</v>
      </c>
    </row>
    <row r="2" spans="1:6" x14ac:dyDescent="0.2">
      <c r="A2" s="470"/>
      <c r="D2" s="54" t="s">
        <v>53</v>
      </c>
      <c r="E2" s="54" t="s">
        <v>53</v>
      </c>
    </row>
    <row r="3" spans="1:6" ht="13.5" thickBot="1" x14ac:dyDescent="0.25">
      <c r="C3" s="54" t="s">
        <v>53</v>
      </c>
      <c r="D3" s="54" t="s">
        <v>125</v>
      </c>
      <c r="E3" t="s">
        <v>139</v>
      </c>
    </row>
    <row r="4" spans="1:6" ht="13.5" thickBot="1" x14ac:dyDescent="0.25">
      <c r="A4" s="487" t="s">
        <v>339</v>
      </c>
      <c r="B4" s="487" t="s">
        <v>340</v>
      </c>
      <c r="C4" s="488" t="s">
        <v>157</v>
      </c>
      <c r="D4" s="488" t="s">
        <v>158</v>
      </c>
      <c r="E4" s="488" t="s">
        <v>328</v>
      </c>
      <c r="F4" s="487" t="s">
        <v>338</v>
      </c>
    </row>
    <row r="5" spans="1:6" x14ac:dyDescent="0.2">
      <c r="A5" s="489" t="s">
        <v>312</v>
      </c>
      <c r="B5" s="512" t="s">
        <v>365</v>
      </c>
      <c r="C5" s="490" t="e">
        <f>SUM(#REF!,#REF!,#REF!)</f>
        <v>#REF!</v>
      </c>
      <c r="D5" s="490" t="e">
        <f>SUM(#REF!,#REF!,#REF!)</f>
        <v>#REF!</v>
      </c>
      <c r="E5" s="490" t="e">
        <f>SUM(#REF!,#REF!,#REF!)</f>
        <v>#REF!</v>
      </c>
      <c r="F5" s="497" t="e">
        <f t="shared" ref="F5:F20" si="0">E5/D5</f>
        <v>#REF!</v>
      </c>
    </row>
    <row r="6" spans="1:6" x14ac:dyDescent="0.2">
      <c r="A6" s="492" t="s">
        <v>60</v>
      </c>
      <c r="B6" s="21" t="s">
        <v>9</v>
      </c>
      <c r="C6" s="12" t="e">
        <f>SUM(#REF!,#REF!,#REF!,#REF!,#REF!,#REF!,#REF!,#REF!)</f>
        <v>#REF!</v>
      </c>
      <c r="D6" s="12" t="e">
        <f>SUM(#REF!,#REF!,#REF!,#REF!,#REF!,#REF!,#REF!,#REF!)</f>
        <v>#REF!</v>
      </c>
      <c r="E6" s="12" t="e">
        <f>SUM(#REF!,#REF!,#REF!,#REF!,#REF!,#REF!,#REF!,#REF!)</f>
        <v>#REF!</v>
      </c>
      <c r="F6" s="498" t="e">
        <f t="shared" si="0"/>
        <v>#REF!</v>
      </c>
    </row>
    <row r="7" spans="1:6" x14ac:dyDescent="0.2">
      <c r="A7" s="492" t="s">
        <v>61</v>
      </c>
      <c r="B7" s="11" t="s">
        <v>348</v>
      </c>
      <c r="C7" s="12" t="e">
        <f>SUM(#REF!,#REF!,#REF!,#REF!,#REF!)</f>
        <v>#REF!</v>
      </c>
      <c r="D7" s="12" t="e">
        <f>SUM(#REF!,#REF!,#REF!,#REF!,#REF!)</f>
        <v>#REF!</v>
      </c>
      <c r="E7" s="12" t="e">
        <f>SUM(#REF!,#REF!,#REF!,#REF!,#REF!)</f>
        <v>#REF!</v>
      </c>
      <c r="F7" s="498" t="e">
        <f t="shared" si="0"/>
        <v>#REF!</v>
      </c>
    </row>
    <row r="8" spans="1:6" x14ac:dyDescent="0.2">
      <c r="A8" s="492" t="s">
        <v>62</v>
      </c>
      <c r="B8" s="21" t="s">
        <v>11</v>
      </c>
      <c r="C8" s="12" t="e">
        <f>SUM(#REF!,#REF!,#REF!)</f>
        <v>#REF!</v>
      </c>
      <c r="D8" s="12" t="e">
        <f>SUM(#REF!,#REF!,#REF!)</f>
        <v>#REF!</v>
      </c>
      <c r="E8" s="12" t="e">
        <f>SUM(#REF!,#REF!,#REF!)</f>
        <v>#REF!</v>
      </c>
      <c r="F8" s="498" t="e">
        <f t="shared" si="0"/>
        <v>#REF!</v>
      </c>
    </row>
    <row r="9" spans="1:6" x14ac:dyDescent="0.2">
      <c r="A9" s="492" t="s">
        <v>63</v>
      </c>
      <c r="B9" s="21" t="s">
        <v>368</v>
      </c>
      <c r="C9" s="12" t="e">
        <f>SUM(#REF!,#REF!,#REF!,#REF!,#REF!,#REF!,#REF!)</f>
        <v>#REF!</v>
      </c>
      <c r="D9" s="12" t="e">
        <f>SUM(#REF!,#REF!,#REF!,#REF!,#REF!,#REF!,#REF!)</f>
        <v>#REF!</v>
      </c>
      <c r="E9" s="12" t="e">
        <f>SUM(#REF!,#REF!,#REF!,#REF!,#REF!,#REF!,#REF!)</f>
        <v>#REF!</v>
      </c>
      <c r="F9" s="498" t="e">
        <f t="shared" si="0"/>
        <v>#REF!</v>
      </c>
    </row>
    <row r="10" spans="1:6" x14ac:dyDescent="0.2">
      <c r="A10" s="492" t="s">
        <v>313</v>
      </c>
      <c r="B10" s="21" t="s">
        <v>350</v>
      </c>
      <c r="C10" s="12" t="e">
        <f>SUM(#REF!,#REF!,#REF!,#REF!)</f>
        <v>#REF!</v>
      </c>
      <c r="D10" s="12" t="e">
        <f>SUM(#REF!,#REF!,#REF!,#REF!)</f>
        <v>#REF!</v>
      </c>
      <c r="E10" s="12" t="e">
        <f>SUM(#REF!,#REF!,#REF!,#REF!)</f>
        <v>#REF!</v>
      </c>
      <c r="F10" s="498" t="e">
        <f t="shared" si="0"/>
        <v>#REF!</v>
      </c>
    </row>
    <row r="11" spans="1:6" x14ac:dyDescent="0.2">
      <c r="A11" s="492" t="s">
        <v>314</v>
      </c>
      <c r="B11" s="21" t="s">
        <v>126</v>
      </c>
      <c r="C11" s="12" t="e">
        <f>SUM(#REF!,#REF!,#REF!,#REF!)</f>
        <v>#REF!</v>
      </c>
      <c r="D11" s="12" t="e">
        <f>SUM(#REF!,#REF!,#REF!,#REF!)</f>
        <v>#REF!</v>
      </c>
      <c r="E11" s="12" t="e">
        <f>SUM(#REF!,#REF!,#REF!,#REF!)</f>
        <v>#REF!</v>
      </c>
      <c r="F11" s="498" t="e">
        <f t="shared" si="0"/>
        <v>#REF!</v>
      </c>
    </row>
    <row r="12" spans="1:6" x14ac:dyDescent="0.2">
      <c r="A12" s="492" t="s">
        <v>77</v>
      </c>
      <c r="B12" s="21" t="s">
        <v>366</v>
      </c>
      <c r="C12" s="12" t="e">
        <f>SUM(#REF!)</f>
        <v>#REF!</v>
      </c>
      <c r="D12" s="12" t="e">
        <f>SUM(#REF!)</f>
        <v>#REF!</v>
      </c>
      <c r="E12" s="12" t="e">
        <f>SUM(#REF!)</f>
        <v>#REF!</v>
      </c>
      <c r="F12" s="498" t="e">
        <f t="shared" si="0"/>
        <v>#REF!</v>
      </c>
    </row>
    <row r="13" spans="1:6" x14ac:dyDescent="0.2">
      <c r="A13" s="492" t="s">
        <v>305</v>
      </c>
      <c r="B13" s="21" t="s">
        <v>407</v>
      </c>
      <c r="C13" s="12" t="e">
        <f>SUM(#REF!)</f>
        <v>#REF!</v>
      </c>
      <c r="D13" s="12" t="e">
        <f>SUM(#REF!)</f>
        <v>#REF!</v>
      </c>
      <c r="E13" s="12" t="e">
        <f>SUM(#REF!)</f>
        <v>#REF!</v>
      </c>
      <c r="F13" s="498" t="e">
        <f t="shared" si="0"/>
        <v>#REF!</v>
      </c>
    </row>
    <row r="14" spans="1:6" x14ac:dyDescent="0.2">
      <c r="A14" s="492" t="s">
        <v>306</v>
      </c>
      <c r="B14" s="21" t="s">
        <v>222</v>
      </c>
      <c r="C14" s="12" t="e">
        <f>SUM(#REF!,#REF!)</f>
        <v>#REF!</v>
      </c>
      <c r="D14" s="12" t="e">
        <f>SUM(#REF!,#REF!)</f>
        <v>#REF!</v>
      </c>
      <c r="E14" s="12" t="e">
        <f>SUM(#REF!,#REF!)</f>
        <v>#REF!</v>
      </c>
      <c r="F14" s="498" t="e">
        <f t="shared" si="0"/>
        <v>#REF!</v>
      </c>
    </row>
    <row r="15" spans="1:6" x14ac:dyDescent="0.2">
      <c r="A15" s="492" t="s">
        <v>307</v>
      </c>
      <c r="B15" s="21" t="s">
        <v>10</v>
      </c>
      <c r="C15" s="12" t="e">
        <f>SUM(#REF!,#REF!,#REF!,#REF!,#REF!,#REF!,#REF!,#REF!,#REF!,#REF!,#REF!,#REF!)</f>
        <v>#REF!</v>
      </c>
      <c r="D15" s="12" t="e">
        <f>SUM(#REF!,#REF!,#REF!,#REF!,#REF!,#REF!,#REF!,#REF!,#REF!,#REF!,#REF!,#REF!)</f>
        <v>#REF!</v>
      </c>
      <c r="E15" s="12" t="e">
        <f>SUM(#REF!,#REF!,#REF!,#REF!,#REF!,#REF!,#REF!,#REF!,#REF!,#REF!,#REF!,#REF!)</f>
        <v>#REF!</v>
      </c>
      <c r="F15" s="498" t="e">
        <f t="shared" si="0"/>
        <v>#REF!</v>
      </c>
    </row>
    <row r="16" spans="1:6" x14ac:dyDescent="0.2">
      <c r="A16" s="492" t="s">
        <v>308</v>
      </c>
      <c r="B16" s="21" t="s">
        <v>367</v>
      </c>
      <c r="C16" s="12" t="e">
        <f>SUM(#REF!,#REF!,#REF!,#REF!,#REF!,#REF!,#REF!,#REF!,#REF!,#REF!,#REF!,#REF!,#REF!)</f>
        <v>#REF!</v>
      </c>
      <c r="D16" s="12" t="e">
        <f>SUM(#REF!,#REF!,#REF!,#REF!,#REF!,#REF!,#REF!,#REF!,#REF!,#REF!,#REF!,#REF!,#REF!,#REF!,#REF!,#REF!,#REF!,#REF!)</f>
        <v>#REF!</v>
      </c>
      <c r="E16" s="12" t="e">
        <f>SUM(#REF!,#REF!,#REF!,#REF!,#REF!,#REF!,#REF!,#REF!,#REF!,#REF!,#REF!,#REF!,#REF!,#REF!,#REF!,#REF!,#REF!,#REF!)</f>
        <v>#REF!</v>
      </c>
      <c r="F16" s="498" t="e">
        <f t="shared" si="0"/>
        <v>#REF!</v>
      </c>
    </row>
    <row r="17" spans="1:6" x14ac:dyDescent="0.2">
      <c r="A17" s="492" t="s">
        <v>309</v>
      </c>
      <c r="B17" s="21" t="s">
        <v>226</v>
      </c>
      <c r="C17" s="12" t="e">
        <f>SUM(#REF!,#REF!,#REF!,#REF!,#REF!,#REF!,#REF!,#REF!,#REF!,#REF!,#REF!,#REF!,#REF!,#REF!,#REF!,#REF!,#REF!,#REF!,#REF!,#REF!,#REF!,#REF!,#REF!,#REF!,#REF!,#REF!,#REF!)</f>
        <v>#REF!</v>
      </c>
      <c r="D17" s="12" t="e">
        <f>SUM(#REF!,#REF!,#REF!,#REF!,#REF!,#REF!,#REF!,#REF!,#REF!,#REF!,#REF!,#REF!,#REF!,#REF!,#REF!,#REF!,#REF!,#REF!,#REF!,#REF!,#REF!,#REF!,#REF!,#REF!,#REF!,#REF!,#REF!)</f>
        <v>#REF!</v>
      </c>
      <c r="E17" s="12" t="e">
        <f>SUM(#REF!,#REF!,#REF!,#REF!,#REF!,#REF!,#REF!,#REF!,#REF!,#REF!,#REF!,#REF!,#REF!,#REF!,#REF!,#REF!,#REF!,#REF!,#REF!,#REF!,#REF!,#REF!,#REF!,#REF!,#REF!,#REF!,#REF!)</f>
        <v>#REF!</v>
      </c>
      <c r="F17" s="498" t="e">
        <f t="shared" si="0"/>
        <v>#REF!</v>
      </c>
    </row>
    <row r="18" spans="1:6" x14ac:dyDescent="0.2">
      <c r="A18" s="492" t="s">
        <v>310</v>
      </c>
      <c r="B18" s="21" t="s">
        <v>470</v>
      </c>
      <c r="C18" s="12" t="e">
        <f>SUM(#REF!)</f>
        <v>#REF!</v>
      </c>
      <c r="D18" s="12" t="e">
        <f>SUM(#REF!)</f>
        <v>#REF!</v>
      </c>
      <c r="E18" s="12" t="e">
        <f>SUM(#REF!)</f>
        <v>#REF!</v>
      </c>
      <c r="F18" s="498" t="e">
        <f t="shared" si="0"/>
        <v>#REF!</v>
      </c>
    </row>
    <row r="19" spans="1:6" ht="13.5" thickBot="1" x14ac:dyDescent="0.25">
      <c r="A19" s="493" t="s">
        <v>311</v>
      </c>
      <c r="B19" s="370" t="s">
        <v>415</v>
      </c>
      <c r="C19" s="372" t="e">
        <f>SUM(#REF!)</f>
        <v>#REF!</v>
      </c>
      <c r="D19" s="372" t="e">
        <f>SUM(#REF!)</f>
        <v>#REF!</v>
      </c>
      <c r="E19" s="372" t="e">
        <f>SUM(#REF!)</f>
        <v>#REF!</v>
      </c>
      <c r="F19" s="499" t="e">
        <f t="shared" si="0"/>
        <v>#REF!</v>
      </c>
    </row>
    <row r="20" spans="1:6" x14ac:dyDescent="0.2">
      <c r="B20" s="65" t="s">
        <v>347</v>
      </c>
      <c r="C20" s="103" t="e">
        <f>SUM(C5:C19)</f>
        <v>#REF!</v>
      </c>
      <c r="D20" s="103" t="e">
        <f>SUM(D5:D19)</f>
        <v>#REF!</v>
      </c>
      <c r="E20" s="103" t="e">
        <f>SUM(E5:E19)</f>
        <v>#REF!</v>
      </c>
      <c r="F20" s="72" t="e">
        <f t="shared" si="0"/>
        <v>#REF!</v>
      </c>
    </row>
  </sheetData>
  <phoneticPr fontId="0" type="noConversion"/>
  <pageMargins left="0.78740157499999996" right="0.78740157499999996" top="0.984251969" bottom="0.984251969" header="0.4921259845" footer="0.4921259845"/>
  <pageSetup paperSize="9" scale="115" orientation="landscape" horizontalDpi="300" verticalDpi="300" r:id="rId1"/>
  <headerFooter alignWithMargins="0">
    <oddHeader>&amp;LMěsto Ostrov&amp;RStav ke dni: &amp;D</oddHeader>
    <oddFooter>&amp;LVýdaje 2005&amp;C&amp;P&amp;RZpracoval: OF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Y123"/>
  <sheetViews>
    <sheetView zoomScale="75" workbookViewId="0">
      <selection activeCell="A43" sqref="A43"/>
    </sheetView>
  </sheetViews>
  <sheetFormatPr defaultRowHeight="12.75" x14ac:dyDescent="0.2"/>
  <cols>
    <col min="1" max="1" width="7.7109375" customWidth="1"/>
    <col min="2" max="2" width="7.28515625" style="100" customWidth="1"/>
    <col min="3" max="3" width="6.28515625" style="100" customWidth="1"/>
    <col min="4" max="4" width="8.5703125" style="100" customWidth="1"/>
    <col min="5" max="5" width="93.42578125" customWidth="1"/>
    <col min="6" max="6" width="12.28515625" style="4" customWidth="1"/>
    <col min="7" max="8" width="9.28515625" customWidth="1"/>
    <col min="9" max="9" width="11.5703125" customWidth="1"/>
    <col min="10" max="10" width="9.85546875" customWidth="1"/>
    <col min="11" max="11" width="10" customWidth="1"/>
    <col min="12" max="12" width="13.5703125" hidden="1" customWidth="1"/>
    <col min="13" max="13" width="9" customWidth="1"/>
  </cols>
  <sheetData>
    <row r="1" spans="1:14" ht="20.25" customHeight="1" x14ac:dyDescent="0.25">
      <c r="A1" s="393"/>
      <c r="B1" s="393"/>
      <c r="C1" s="393"/>
      <c r="D1" s="393"/>
      <c r="E1" s="394" t="s">
        <v>50</v>
      </c>
      <c r="F1" s="393"/>
      <c r="G1" s="219"/>
      <c r="H1" s="219"/>
      <c r="I1" s="219"/>
      <c r="J1" s="219"/>
      <c r="K1" s="219"/>
      <c r="L1" s="219"/>
      <c r="M1" s="219"/>
    </row>
    <row r="2" spans="1:14" ht="15" x14ac:dyDescent="0.25">
      <c r="A2" s="395"/>
      <c r="B2" s="395"/>
      <c r="C2" s="395"/>
      <c r="D2" s="395"/>
      <c r="E2" s="684" t="s">
        <v>192</v>
      </c>
      <c r="F2" s="395"/>
      <c r="G2" s="478"/>
      <c r="H2" s="396"/>
      <c r="I2" s="219"/>
      <c r="J2" s="219"/>
      <c r="K2" s="219"/>
      <c r="L2" s="219"/>
      <c r="M2" s="219"/>
      <c r="N2" s="6"/>
    </row>
    <row r="3" spans="1:14" ht="15.75" x14ac:dyDescent="0.25">
      <c r="A3" s="190"/>
      <c r="B3" s="531"/>
      <c r="C3" s="531"/>
      <c r="D3" s="531"/>
      <c r="E3" s="2"/>
      <c r="F3" s="532" t="s">
        <v>205</v>
      </c>
      <c r="G3" s="533" t="s">
        <v>202</v>
      </c>
      <c r="H3" s="385" t="s">
        <v>21</v>
      </c>
      <c r="I3" s="386" t="s">
        <v>378</v>
      </c>
      <c r="J3" s="63"/>
      <c r="K3" s="64"/>
      <c r="L3" s="65" t="s">
        <v>51</v>
      </c>
    </row>
    <row r="4" spans="1:14" ht="15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52</v>
      </c>
      <c r="F4" s="535" t="s">
        <v>53</v>
      </c>
      <c r="G4" s="535" t="s">
        <v>53</v>
      </c>
      <c r="H4" s="387" t="s">
        <v>53</v>
      </c>
      <c r="I4" s="331" t="s">
        <v>54</v>
      </c>
      <c r="J4" s="252"/>
      <c r="K4" s="253"/>
      <c r="L4" s="483" t="s">
        <v>55</v>
      </c>
      <c r="M4" s="484"/>
    </row>
    <row r="5" spans="1:14" ht="15" x14ac:dyDescent="0.25">
      <c r="A5" s="536"/>
      <c r="B5" s="537"/>
      <c r="C5" s="537"/>
      <c r="D5" s="538"/>
      <c r="E5" s="537"/>
      <c r="F5" s="588"/>
      <c r="G5" s="539"/>
      <c r="H5" s="68"/>
      <c r="I5" s="411"/>
      <c r="J5" s="69"/>
      <c r="K5" s="69"/>
      <c r="L5" s="69"/>
    </row>
    <row r="6" spans="1:14" ht="15" x14ac:dyDescent="0.25">
      <c r="A6" s="537"/>
      <c r="B6" s="540"/>
      <c r="C6" s="540"/>
      <c r="D6" s="540"/>
      <c r="E6" s="541"/>
      <c r="F6" s="589"/>
      <c r="G6" s="542"/>
      <c r="H6" s="71"/>
      <c r="I6" s="412"/>
      <c r="J6" s="71"/>
      <c r="K6" s="72"/>
      <c r="L6" s="4"/>
    </row>
    <row r="7" spans="1:14" ht="14.25" hidden="1" x14ac:dyDescent="0.2">
      <c r="A7" s="543" t="s">
        <v>160</v>
      </c>
      <c r="B7" s="544">
        <v>3619</v>
      </c>
      <c r="C7" s="544">
        <v>3111</v>
      </c>
      <c r="D7" s="545"/>
      <c r="E7" s="546" t="s">
        <v>467</v>
      </c>
      <c r="F7" s="547"/>
      <c r="G7" s="548"/>
      <c r="H7" s="73"/>
      <c r="I7" s="412" t="e">
        <f t="shared" ref="I7:I20" si="0">H7/G7</f>
        <v>#DIV/0!</v>
      </c>
      <c r="J7" s="73"/>
      <c r="K7" s="72"/>
      <c r="L7" s="4"/>
    </row>
    <row r="8" spans="1:14" ht="15" x14ac:dyDescent="0.25">
      <c r="A8" s="533" t="s">
        <v>160</v>
      </c>
      <c r="B8" s="549">
        <v>3619</v>
      </c>
      <c r="C8" s="549">
        <v>2141</v>
      </c>
      <c r="D8" s="549">
        <v>4161</v>
      </c>
      <c r="E8" s="550" t="s">
        <v>84</v>
      </c>
      <c r="F8" s="168" t="e">
        <f>SUM(Žádost!#REF!)</f>
        <v>#REF!</v>
      </c>
      <c r="G8" s="168" t="e">
        <f>SUM(Žádost!#REF!)</f>
        <v>#REF!</v>
      </c>
      <c r="H8" s="18" t="e">
        <f>SUM(Žádost!#REF!)</f>
        <v>#REF!</v>
      </c>
      <c r="I8" s="471" t="e">
        <f t="shared" si="0"/>
        <v>#REF!</v>
      </c>
      <c r="J8" s="73"/>
      <c r="K8" s="72"/>
      <c r="L8" s="52"/>
    </row>
    <row r="9" spans="1:14" ht="14.25" x14ac:dyDescent="0.2">
      <c r="A9" s="551" t="s">
        <v>160</v>
      </c>
      <c r="B9" s="552">
        <v>3619</v>
      </c>
      <c r="C9" s="552">
        <v>3112</v>
      </c>
      <c r="D9" s="552">
        <v>4159</v>
      </c>
      <c r="E9" s="553" t="s">
        <v>468</v>
      </c>
      <c r="F9" s="189" t="e">
        <f>SUM(Žádost!#REF!)</f>
        <v>#REF!</v>
      </c>
      <c r="G9" s="189" t="e">
        <f>SUM(Žádost!#REF!)</f>
        <v>#REF!</v>
      </c>
      <c r="H9" s="296" t="e">
        <f>SUM(Žádost!#REF!)</f>
        <v>#REF!</v>
      </c>
      <c r="I9" s="471" t="e">
        <f t="shared" si="0"/>
        <v>#REF!</v>
      </c>
      <c r="J9" s="73"/>
      <c r="K9" s="72"/>
      <c r="L9" s="52"/>
    </row>
    <row r="10" spans="1:14" ht="14.25" x14ac:dyDescent="0.2">
      <c r="A10" s="551" t="s">
        <v>160</v>
      </c>
      <c r="B10" s="552">
        <v>3619</v>
      </c>
      <c r="C10" s="552">
        <v>3112</v>
      </c>
      <c r="D10" s="552">
        <v>4160</v>
      </c>
      <c r="E10" s="553" t="s">
        <v>414</v>
      </c>
      <c r="F10" s="207" t="e">
        <f>SUM(Žádost!#REF!)</f>
        <v>#REF!</v>
      </c>
      <c r="G10" s="189" t="e">
        <f>SUM(Žádost!#REF!)</f>
        <v>#REF!</v>
      </c>
      <c r="H10" s="28" t="e">
        <f>SUM(Žádost!#REF!)</f>
        <v>#REF!</v>
      </c>
      <c r="I10" s="249" t="e">
        <f t="shared" si="0"/>
        <v>#REF!</v>
      </c>
      <c r="J10" s="75"/>
      <c r="K10" s="72"/>
      <c r="L10" s="4"/>
    </row>
    <row r="11" spans="1:14" ht="15" x14ac:dyDescent="0.25">
      <c r="A11" s="533" t="s">
        <v>160</v>
      </c>
      <c r="B11" s="549">
        <v>3639</v>
      </c>
      <c r="C11" s="549">
        <v>2141</v>
      </c>
      <c r="D11" s="549">
        <v>4165</v>
      </c>
      <c r="E11" s="169" t="s">
        <v>371</v>
      </c>
      <c r="F11" s="165" t="e">
        <f>SUM(Žádost!#REF!)</f>
        <v>#REF!</v>
      </c>
      <c r="G11" s="165" t="e">
        <f>SUM(Žádost!#REF!)</f>
        <v>#REF!</v>
      </c>
      <c r="H11" s="14" t="e">
        <f>SUM(Žádost!#REF!)</f>
        <v>#REF!</v>
      </c>
      <c r="I11" s="249" t="e">
        <f t="shared" si="0"/>
        <v>#REF!</v>
      </c>
      <c r="J11" s="53"/>
      <c r="K11" s="72"/>
      <c r="L11" s="4"/>
    </row>
    <row r="12" spans="1:14" ht="14.25" x14ac:dyDescent="0.2">
      <c r="A12" s="551" t="s">
        <v>160</v>
      </c>
      <c r="B12" s="552">
        <v>3639</v>
      </c>
      <c r="C12" s="552">
        <v>3112</v>
      </c>
      <c r="D12" s="552">
        <v>4165</v>
      </c>
      <c r="E12" s="554" t="s">
        <v>345</v>
      </c>
      <c r="F12" s="207" t="e">
        <f>SUM(Žádost!#REF!)</f>
        <v>#REF!</v>
      </c>
      <c r="G12" s="207" t="e">
        <f>SUM(Žádost!#REF!)</f>
        <v>#REF!</v>
      </c>
      <c r="H12" s="28" t="e">
        <f>SUM(Žádost!#REF!)</f>
        <v>#REF!</v>
      </c>
      <c r="I12" s="249" t="e">
        <f t="shared" si="0"/>
        <v>#REF!</v>
      </c>
      <c r="J12" s="46"/>
      <c r="K12" s="72"/>
      <c r="L12" s="4"/>
    </row>
    <row r="13" spans="1:14" ht="14.25" x14ac:dyDescent="0.2">
      <c r="A13" s="551" t="s">
        <v>160</v>
      </c>
      <c r="B13" s="552">
        <v>3639</v>
      </c>
      <c r="C13" s="552">
        <v>3112</v>
      </c>
      <c r="D13" s="552">
        <v>416501</v>
      </c>
      <c r="E13" s="554" t="s">
        <v>481</v>
      </c>
      <c r="F13" s="207" t="e">
        <f>SUM(Žádost!#REF!)</f>
        <v>#REF!</v>
      </c>
      <c r="G13" s="207" t="e">
        <f>SUM(Žádost!#REF!)</f>
        <v>#REF!</v>
      </c>
      <c r="H13" s="28" t="e">
        <f>SUM(Žádost!#REF!)</f>
        <v>#REF!</v>
      </c>
      <c r="I13" s="249"/>
      <c r="J13" s="79"/>
      <c r="K13" s="72"/>
      <c r="L13" s="4"/>
    </row>
    <row r="14" spans="1:14" ht="15" x14ac:dyDescent="0.25">
      <c r="A14" s="533" t="s">
        <v>160</v>
      </c>
      <c r="B14" s="549">
        <v>6310</v>
      </c>
      <c r="C14" s="549">
        <v>2141</v>
      </c>
      <c r="D14" s="549">
        <v>4166</v>
      </c>
      <c r="E14" s="169" t="s">
        <v>268</v>
      </c>
      <c r="F14" s="165" t="e">
        <f>SUM(Žádost!#REF!)</f>
        <v>#REF!</v>
      </c>
      <c r="G14" s="165" t="e">
        <f>SUM(Žádost!#REF!)</f>
        <v>#REF!</v>
      </c>
      <c r="H14" s="473" t="e">
        <f>SUM(Žádost!#REF!)</f>
        <v>#REF!</v>
      </c>
      <c r="I14" s="249" t="e">
        <f t="shared" si="0"/>
        <v>#REF!</v>
      </c>
      <c r="J14" s="79"/>
      <c r="K14" s="72"/>
      <c r="L14" s="4"/>
    </row>
    <row r="15" spans="1:14" ht="15" x14ac:dyDescent="0.25">
      <c r="A15" s="533" t="s">
        <v>160</v>
      </c>
      <c r="B15" s="549">
        <v>6310</v>
      </c>
      <c r="C15" s="549">
        <v>2324</v>
      </c>
      <c r="D15" s="549">
        <v>4260</v>
      </c>
      <c r="E15" s="19" t="s">
        <v>488</v>
      </c>
      <c r="F15" s="681">
        <v>0</v>
      </c>
      <c r="G15" s="681">
        <v>0</v>
      </c>
      <c r="H15" s="473" t="e">
        <f>SUM(Žádost!#REF!)</f>
        <v>#REF!</v>
      </c>
      <c r="I15" s="249"/>
      <c r="J15" s="79"/>
      <c r="K15" s="72"/>
      <c r="L15" s="4"/>
    </row>
    <row r="16" spans="1:14" ht="15" x14ac:dyDescent="0.25">
      <c r="A16" s="533" t="s">
        <v>160</v>
      </c>
      <c r="B16" s="555" t="s">
        <v>269</v>
      </c>
      <c r="C16" s="549">
        <v>2460</v>
      </c>
      <c r="D16" s="549">
        <v>4166</v>
      </c>
      <c r="E16" s="550" t="s">
        <v>492</v>
      </c>
      <c r="F16" s="165" t="e">
        <f>SUM(Žádost!#REF!)</f>
        <v>#REF!</v>
      </c>
      <c r="G16" s="165" t="e">
        <f>SUM(Žádost!#REF!)</f>
        <v>#REF!</v>
      </c>
      <c r="H16" s="473" t="e">
        <f>SUM(Žádost!#REF!)</f>
        <v>#REF!</v>
      </c>
      <c r="I16" s="249" t="e">
        <f t="shared" si="0"/>
        <v>#REF!</v>
      </c>
      <c r="J16" s="74"/>
      <c r="K16" s="72"/>
      <c r="L16" s="52"/>
    </row>
    <row r="17" spans="1:25" ht="15" x14ac:dyDescent="0.25">
      <c r="A17" s="533" t="s">
        <v>160</v>
      </c>
      <c r="B17" s="555" t="s">
        <v>269</v>
      </c>
      <c r="C17" s="549">
        <v>2460</v>
      </c>
      <c r="D17" s="549"/>
      <c r="E17" s="550" t="s">
        <v>493</v>
      </c>
      <c r="F17" s="165" t="e">
        <f>SUM(Žádost!#REF!)</f>
        <v>#REF!</v>
      </c>
      <c r="G17" s="165" t="e">
        <f>SUM(Žádost!#REF!)</f>
        <v>#REF!</v>
      </c>
      <c r="H17" s="13" t="e">
        <f>SUM(Žádost!#REF!)</f>
        <v>#REF!</v>
      </c>
      <c r="I17" s="249" t="e">
        <f t="shared" si="0"/>
        <v>#REF!</v>
      </c>
      <c r="J17" s="45"/>
      <c r="K17" s="72"/>
      <c r="L17" s="4"/>
    </row>
    <row r="18" spans="1:25" ht="15" x14ac:dyDescent="0.25">
      <c r="A18" s="556"/>
      <c r="B18" s="557"/>
      <c r="C18" s="558"/>
      <c r="D18" s="558"/>
      <c r="E18" s="559" t="s">
        <v>231</v>
      </c>
      <c r="F18" s="530" t="e">
        <f>SUM(F8:F17)</f>
        <v>#REF!</v>
      </c>
      <c r="G18" s="530" t="e">
        <f>SUM(G8:G17)</f>
        <v>#REF!</v>
      </c>
      <c r="H18" s="154" t="e">
        <f>SUM(H8:H17)</f>
        <v>#REF!</v>
      </c>
      <c r="I18" s="247" t="e">
        <f t="shared" si="0"/>
        <v>#REF!</v>
      </c>
      <c r="J18" s="45"/>
      <c r="K18" s="72"/>
      <c r="L18" s="4"/>
    </row>
    <row r="19" spans="1:25" ht="15" x14ac:dyDescent="0.25">
      <c r="A19" s="556" t="s">
        <v>265</v>
      </c>
      <c r="B19" s="558">
        <v>0</v>
      </c>
      <c r="C19" s="558">
        <v>8115</v>
      </c>
      <c r="D19" s="558"/>
      <c r="E19" s="699" t="s">
        <v>150</v>
      </c>
      <c r="F19" s="696" t="e">
        <f>SUM(Žádost!#REF!)</f>
        <v>#REF!</v>
      </c>
      <c r="G19" s="696" t="e">
        <f>SUM(Žádost!#REF!)</f>
        <v>#REF!</v>
      </c>
      <c r="H19" s="13" t="e">
        <f>SUM(Žádost!#REF!)</f>
        <v>#REF!</v>
      </c>
      <c r="I19" s="413"/>
      <c r="J19" s="45"/>
      <c r="K19" s="72"/>
      <c r="L19" s="4"/>
    </row>
    <row r="20" spans="1:25" ht="15" x14ac:dyDescent="0.25">
      <c r="A20" s="560"/>
      <c r="B20" s="561"/>
      <c r="C20" s="561"/>
      <c r="D20" s="562"/>
      <c r="E20" s="559" t="s">
        <v>209</v>
      </c>
      <c r="F20" s="563" t="e">
        <f>SUM(F18:F19)</f>
        <v>#REF!</v>
      </c>
      <c r="G20" s="563" t="e">
        <f>SUM(G18:G19)</f>
        <v>#REF!</v>
      </c>
      <c r="H20" s="251" t="e">
        <f>SUM(H18:H19)</f>
        <v>#REF!</v>
      </c>
      <c r="I20" s="247" t="e">
        <f t="shared" si="0"/>
        <v>#REF!</v>
      </c>
      <c r="J20" s="33"/>
      <c r="K20" s="84"/>
      <c r="L20" s="85">
        <f>SUM(L13:L17)</f>
        <v>0</v>
      </c>
    </row>
    <row r="21" spans="1:25" ht="15" x14ac:dyDescent="0.25">
      <c r="A21" s="560"/>
      <c r="B21" s="560"/>
      <c r="C21" s="560"/>
      <c r="D21" s="564"/>
      <c r="E21" s="190"/>
      <c r="F21" s="565"/>
      <c r="G21" s="566"/>
    </row>
    <row r="22" spans="1:25" ht="15" x14ac:dyDescent="0.25">
      <c r="A22" s="726" t="s">
        <v>151</v>
      </c>
      <c r="B22" s="726"/>
      <c r="C22" s="726"/>
      <c r="D22" s="727"/>
      <c r="E22" s="728"/>
      <c r="F22" s="729" t="e">
        <f>SUM(F20)</f>
        <v>#REF!</v>
      </c>
      <c r="G22" s="729" t="e">
        <f>SUM(G20)</f>
        <v>#REF!</v>
      </c>
      <c r="H22" s="477" t="e">
        <f>SUM(H20)</f>
        <v>#REF!</v>
      </c>
      <c r="I22" s="730" t="e">
        <f>H22/G22</f>
        <v>#REF!</v>
      </c>
      <c r="J22" s="88"/>
      <c r="K22" s="89"/>
      <c r="L22" s="87" t="e">
        <f>SUM(L20,#REF!)</f>
        <v>#REF!</v>
      </c>
    </row>
    <row r="23" spans="1:25" ht="15" x14ac:dyDescent="0.25">
      <c r="A23" s="560"/>
      <c r="B23" s="531"/>
      <c r="C23" s="531"/>
      <c r="D23" s="568"/>
      <c r="E23" s="569"/>
      <c r="F23" s="570"/>
      <c r="G23" s="566"/>
      <c r="H23" s="385" t="s">
        <v>152</v>
      </c>
      <c r="I23" s="386" t="s">
        <v>378</v>
      </c>
      <c r="J23" s="385" t="s">
        <v>153</v>
      </c>
      <c r="K23" s="386" t="s">
        <v>318</v>
      </c>
      <c r="M23" s="485" t="s">
        <v>164</v>
      </c>
    </row>
    <row r="24" spans="1:25" ht="15" x14ac:dyDescent="0.25">
      <c r="A24" s="533" t="s">
        <v>3</v>
      </c>
      <c r="B24" s="533" t="s">
        <v>319</v>
      </c>
      <c r="C24" s="571" t="s">
        <v>5</v>
      </c>
      <c r="D24" s="533" t="s">
        <v>6</v>
      </c>
      <c r="E24" s="533" t="s">
        <v>129</v>
      </c>
      <c r="F24" s="532" t="s">
        <v>53</v>
      </c>
      <c r="G24" s="532" t="s">
        <v>53</v>
      </c>
      <c r="H24" s="387" t="s">
        <v>53</v>
      </c>
      <c r="I24" s="387" t="s">
        <v>54</v>
      </c>
      <c r="J24" s="387" t="s">
        <v>53</v>
      </c>
      <c r="K24" s="387" t="s">
        <v>54</v>
      </c>
      <c r="L24" s="66" t="s">
        <v>53</v>
      </c>
      <c r="M24" s="49"/>
    </row>
    <row r="25" spans="1:25" ht="15" x14ac:dyDescent="0.25">
      <c r="A25" s="533" t="s">
        <v>341</v>
      </c>
      <c r="B25" s="572">
        <v>3322</v>
      </c>
      <c r="C25" s="572">
        <v>5151</v>
      </c>
      <c r="D25" s="572">
        <v>5081</v>
      </c>
      <c r="E25" s="177" t="s">
        <v>96</v>
      </c>
      <c r="F25" s="745" t="e">
        <f>SUM(#REF!)</f>
        <v>#REF!</v>
      </c>
      <c r="G25" s="745" t="e">
        <f>SUM(#REF!)</f>
        <v>#REF!</v>
      </c>
      <c r="H25" s="466" t="e">
        <f>SUM(#REF!)</f>
        <v>#REF!</v>
      </c>
      <c r="I25" s="249" t="e">
        <f>H25/G25</f>
        <v>#REF!</v>
      </c>
      <c r="J25" s="466" t="e">
        <f>(#REF!)</f>
        <v>#REF!</v>
      </c>
      <c r="K25" s="249" t="e">
        <f>J25/G25</f>
        <v>#REF!</v>
      </c>
      <c r="L25" s="68"/>
      <c r="M25" s="268"/>
    </row>
    <row r="26" spans="1:25" ht="15" x14ac:dyDescent="0.25">
      <c r="A26" s="533" t="s">
        <v>341</v>
      </c>
      <c r="B26" s="572">
        <v>3322</v>
      </c>
      <c r="C26" s="572">
        <v>5169</v>
      </c>
      <c r="D26" s="572">
        <v>5081</v>
      </c>
      <c r="E26" s="177" t="s">
        <v>411</v>
      </c>
      <c r="F26" s="704" t="e">
        <f>SUM(#REF!)</f>
        <v>#REF!</v>
      </c>
      <c r="G26" s="704" t="e">
        <f>SUM(#REF!)</f>
        <v>#REF!</v>
      </c>
      <c r="H26" s="746" t="e">
        <f>SUM(#REF!)</f>
        <v>#REF!</v>
      </c>
      <c r="I26" s="83"/>
      <c r="J26" s="746" t="e">
        <f>SUM(#REF!)</f>
        <v>#REF!</v>
      </c>
      <c r="K26" s="249"/>
      <c r="L26" s="68"/>
      <c r="M26" s="268"/>
    </row>
    <row r="27" spans="1:25" ht="15" hidden="1" x14ac:dyDescent="0.25">
      <c r="A27" s="533"/>
      <c r="B27" s="572"/>
      <c r="C27" s="572"/>
      <c r="D27" s="572"/>
      <c r="E27" s="186"/>
      <c r="F27" s="574"/>
      <c r="G27" s="574"/>
      <c r="H27" s="474"/>
      <c r="I27" s="83"/>
      <c r="J27" s="474"/>
      <c r="K27" s="249"/>
      <c r="L27" s="68"/>
      <c r="M27" s="268"/>
    </row>
    <row r="28" spans="1:25" ht="15" hidden="1" x14ac:dyDescent="0.25">
      <c r="A28" s="551"/>
      <c r="B28" s="552"/>
      <c r="C28" s="552"/>
      <c r="D28" s="552"/>
      <c r="E28" s="575"/>
      <c r="F28" s="207"/>
      <c r="G28" s="207"/>
      <c r="H28" s="28"/>
      <c r="I28" s="83"/>
      <c r="J28" s="28"/>
      <c r="K28" s="250"/>
      <c r="L28" s="4"/>
      <c r="M28" s="268"/>
      <c r="Y28" s="90"/>
    </row>
    <row r="29" spans="1:25" ht="15" x14ac:dyDescent="0.25">
      <c r="A29" s="576"/>
      <c r="B29" s="577"/>
      <c r="C29" s="577"/>
      <c r="D29" s="578"/>
      <c r="E29" s="579" t="s">
        <v>148</v>
      </c>
      <c r="F29" s="580" t="e">
        <f>SUM(F25:F28)</f>
        <v>#REF!</v>
      </c>
      <c r="G29" s="580" t="e">
        <f>SUM(G25:G28)</f>
        <v>#REF!</v>
      </c>
      <c r="H29" s="92" t="e">
        <f>SUM(H25:H28)</f>
        <v>#REF!</v>
      </c>
      <c r="I29" s="83"/>
      <c r="J29" s="93" t="e">
        <f>SUM(J25:J28)</f>
        <v>#REF!</v>
      </c>
      <c r="K29" s="83"/>
      <c r="L29" s="93">
        <f>SUM(L28:L28)</f>
        <v>0</v>
      </c>
      <c r="M29" s="5"/>
    </row>
    <row r="30" spans="1:25" ht="15" x14ac:dyDescent="0.25">
      <c r="A30" s="537"/>
      <c r="B30" s="540"/>
      <c r="C30" s="540"/>
      <c r="D30" s="540"/>
      <c r="E30" s="538"/>
      <c r="F30" s="581"/>
      <c r="G30" s="581"/>
      <c r="H30" s="94"/>
      <c r="I30" s="84"/>
      <c r="J30" s="94"/>
      <c r="K30" s="84"/>
      <c r="L30" s="94"/>
      <c r="M30" s="5"/>
    </row>
    <row r="31" spans="1:25" ht="15" x14ac:dyDescent="0.25">
      <c r="A31" s="537"/>
      <c r="B31" s="540"/>
      <c r="C31" s="540"/>
      <c r="D31" s="540"/>
      <c r="E31" s="538"/>
      <c r="F31" s="581"/>
      <c r="G31" s="581"/>
      <c r="H31" s="94"/>
      <c r="I31" s="84"/>
      <c r="J31" s="94"/>
      <c r="K31" s="84"/>
      <c r="L31" s="94"/>
      <c r="M31" s="5"/>
    </row>
    <row r="32" spans="1:25" ht="15" x14ac:dyDescent="0.25">
      <c r="A32" s="582"/>
      <c r="B32" s="583"/>
      <c r="C32" s="583"/>
      <c r="D32" s="583"/>
      <c r="E32" s="582"/>
      <c r="F32" s="584"/>
      <c r="G32" s="585"/>
      <c r="H32" s="122"/>
      <c r="I32" s="107"/>
      <c r="J32" s="107"/>
      <c r="K32" s="107"/>
      <c r="M32" s="5"/>
    </row>
    <row r="33" spans="1:13" ht="15" x14ac:dyDescent="0.25">
      <c r="A33" s="533" t="s">
        <v>160</v>
      </c>
      <c r="B33" s="549">
        <v>3619</v>
      </c>
      <c r="C33" s="549">
        <v>5166</v>
      </c>
      <c r="D33" s="549">
        <v>3967</v>
      </c>
      <c r="E33" s="550" t="s">
        <v>391</v>
      </c>
      <c r="F33" s="168" t="e">
        <f>SUM(#REF!)</f>
        <v>#REF!</v>
      </c>
      <c r="G33" s="168" t="e">
        <f>SUM(#REF!)</f>
        <v>#REF!</v>
      </c>
      <c r="H33" s="18" t="e">
        <f>SUM(#REF!)</f>
        <v>#REF!</v>
      </c>
      <c r="I33" s="249" t="e">
        <f>H33/G33</f>
        <v>#REF!</v>
      </c>
      <c r="J33" s="18" t="e">
        <f>SUM(#REF!)</f>
        <v>#REF!</v>
      </c>
      <c r="K33" s="249" t="e">
        <f>J33/G33</f>
        <v>#REF!</v>
      </c>
      <c r="L33" s="4"/>
      <c r="M33" s="268"/>
    </row>
    <row r="34" spans="1:13" ht="15" x14ac:dyDescent="0.25">
      <c r="A34" s="551" t="s">
        <v>160</v>
      </c>
      <c r="B34" s="552">
        <v>3619</v>
      </c>
      <c r="C34" s="552">
        <v>6312</v>
      </c>
      <c r="D34" s="552">
        <v>501</v>
      </c>
      <c r="E34" s="691" t="s">
        <v>173</v>
      </c>
      <c r="F34" s="683" t="e">
        <f>SUM(#REF!)</f>
        <v>#REF!</v>
      </c>
      <c r="G34" s="683" t="e">
        <f>SUM(#REF!)</f>
        <v>#REF!</v>
      </c>
      <c r="H34" s="28" t="e">
        <f>SUM(#REF!)</f>
        <v>#REF!</v>
      </c>
      <c r="I34" s="249" t="e">
        <f>H34/G34</f>
        <v>#REF!</v>
      </c>
      <c r="J34" s="28" t="e">
        <f>SUM(#REF!)</f>
        <v>#REF!</v>
      </c>
      <c r="K34" s="249" t="e">
        <f>J34/G34</f>
        <v>#REF!</v>
      </c>
      <c r="L34" s="52"/>
      <c r="M34" s="268"/>
    </row>
    <row r="35" spans="1:13" ht="15" x14ac:dyDescent="0.25">
      <c r="A35" s="551" t="s">
        <v>160</v>
      </c>
      <c r="B35" s="552">
        <v>3619</v>
      </c>
      <c r="C35" s="552">
        <v>6460</v>
      </c>
      <c r="D35" s="552">
        <v>4166</v>
      </c>
      <c r="E35" s="553" t="s">
        <v>228</v>
      </c>
      <c r="F35" s="207" t="e">
        <f>SUM(#REF!)</f>
        <v>#REF!</v>
      </c>
      <c r="G35" s="207" t="e">
        <f>SUM(#REF!)</f>
        <v>#REF!</v>
      </c>
      <c r="H35" s="28" t="e">
        <f>SUM(#REF!)</f>
        <v>#REF!</v>
      </c>
      <c r="I35" s="249" t="e">
        <f>H35/G35</f>
        <v>#REF!</v>
      </c>
      <c r="J35" s="28" t="e">
        <f>SUM(#REF!)</f>
        <v>#REF!</v>
      </c>
      <c r="K35" s="249" t="e">
        <f>J35/G35</f>
        <v>#REF!</v>
      </c>
      <c r="L35" s="52"/>
      <c r="M35" s="268"/>
    </row>
    <row r="36" spans="1:13" ht="15" x14ac:dyDescent="0.25">
      <c r="A36" s="533" t="s">
        <v>160</v>
      </c>
      <c r="B36" s="549">
        <v>6310</v>
      </c>
      <c r="C36" s="549">
        <v>5362</v>
      </c>
      <c r="D36" s="549">
        <v>4260</v>
      </c>
      <c r="E36" s="586" t="s">
        <v>464</v>
      </c>
      <c r="F36" s="165" t="e">
        <f>SUM(#REF!)</f>
        <v>#REF!</v>
      </c>
      <c r="G36" s="165" t="e">
        <f>SUM(#REF!)</f>
        <v>#REF!</v>
      </c>
      <c r="H36" s="14" t="e">
        <f>SUM(#REF!)</f>
        <v>#REF!</v>
      </c>
      <c r="I36" s="475" t="e">
        <f>H36/G36</f>
        <v>#REF!</v>
      </c>
      <c r="J36" s="14" t="e">
        <f>SUM(#REF!)</f>
        <v>#REF!</v>
      </c>
      <c r="K36" s="475" t="e">
        <f>J36/G36</f>
        <v>#REF!</v>
      </c>
      <c r="L36" s="52"/>
      <c r="M36" s="268"/>
    </row>
    <row r="37" spans="1:13" ht="15" x14ac:dyDescent="0.25">
      <c r="A37" s="560"/>
      <c r="B37" s="561"/>
      <c r="C37" s="561"/>
      <c r="D37" s="561"/>
      <c r="E37" s="572" t="s">
        <v>229</v>
      </c>
      <c r="F37" s="580" t="e">
        <f>SUM(F33:F36)</f>
        <v>#REF!</v>
      </c>
      <c r="G37" s="580" t="e">
        <f>SUM(G33:G36)</f>
        <v>#REF!</v>
      </c>
      <c r="H37" s="93" t="e">
        <f>SUM(H33:H36)</f>
        <v>#REF!</v>
      </c>
      <c r="I37" s="83" t="e">
        <f>H37/G37</f>
        <v>#REF!</v>
      </c>
      <c r="J37" s="93" t="e">
        <f>SUM(J33:J36)</f>
        <v>#REF!</v>
      </c>
      <c r="K37" s="83" t="e">
        <f>J37/G37</f>
        <v>#REF!</v>
      </c>
      <c r="L37" s="93">
        <f>SUM(L35:L36)</f>
        <v>0</v>
      </c>
      <c r="M37" s="5"/>
    </row>
    <row r="38" spans="1:13" ht="15" x14ac:dyDescent="0.25">
      <c r="A38" s="560"/>
      <c r="B38" s="587"/>
      <c r="C38" s="587"/>
      <c r="D38" s="587"/>
      <c r="E38" s="190"/>
      <c r="F38" s="565"/>
      <c r="G38" s="190"/>
      <c r="H38" s="99"/>
    </row>
    <row r="39" spans="1:13" ht="15" x14ac:dyDescent="0.25">
      <c r="A39" s="726" t="s">
        <v>220</v>
      </c>
      <c r="B39" s="726"/>
      <c r="C39" s="726"/>
      <c r="D39" s="726"/>
      <c r="E39" s="728"/>
      <c r="F39" s="729" t="e">
        <f>SUM(F29,F37)</f>
        <v>#REF!</v>
      </c>
      <c r="G39" s="729" t="e">
        <f>SUM(G29,G37)</f>
        <v>#REF!</v>
      </c>
      <c r="H39" s="477" t="e">
        <f>SUM(H29,H37)</f>
        <v>#REF!</v>
      </c>
      <c r="I39" s="416" t="e">
        <f>H39/G39</f>
        <v>#REF!</v>
      </c>
      <c r="J39" s="477" t="e">
        <f>SUM(J29,J37)</f>
        <v>#REF!</v>
      </c>
      <c r="K39" s="730" t="e">
        <f>J39/G39</f>
        <v>#REF!</v>
      </c>
      <c r="L39" s="87" t="e">
        <f>SUM(L29,#REF!,L37)</f>
        <v>#REF!</v>
      </c>
    </row>
    <row r="40" spans="1:13" ht="15" x14ac:dyDescent="0.25">
      <c r="A40" s="560"/>
      <c r="B40" s="566"/>
      <c r="C40" s="566"/>
      <c r="D40" s="566"/>
      <c r="E40" s="569"/>
      <c r="F40" s="570"/>
      <c r="G40" s="190"/>
      <c r="H40" s="99"/>
    </row>
    <row r="41" spans="1:13" ht="15" x14ac:dyDescent="0.25">
      <c r="A41" s="726" t="s">
        <v>0</v>
      </c>
      <c r="B41" s="731"/>
      <c r="C41" s="731"/>
      <c r="D41" s="731"/>
      <c r="E41" s="731"/>
      <c r="F41" s="729" t="e">
        <f>F22-F39</f>
        <v>#REF!</v>
      </c>
      <c r="G41" s="729" t="e">
        <f>G22-G39</f>
        <v>#REF!</v>
      </c>
      <c r="H41" s="477" t="e">
        <f>H22-H39</f>
        <v>#REF!</v>
      </c>
      <c r="I41" s="732"/>
      <c r="J41" s="477"/>
      <c r="K41" s="730"/>
      <c r="L41" s="87" t="e">
        <f>L22-L39</f>
        <v>#REF!</v>
      </c>
    </row>
    <row r="42" spans="1:13" x14ac:dyDescent="0.2">
      <c r="A42" s="3"/>
      <c r="H42" s="101"/>
    </row>
    <row r="43" spans="1:13" x14ac:dyDescent="0.2">
      <c r="A43" s="102"/>
      <c r="B43"/>
      <c r="C43"/>
      <c r="D43"/>
      <c r="H43" s="101"/>
    </row>
    <row r="44" spans="1:13" hidden="1" x14ac:dyDescent="0.2">
      <c r="A44" s="102" t="s">
        <v>256</v>
      </c>
      <c r="B44"/>
      <c r="C44"/>
      <c r="D44"/>
      <c r="F44" s="4">
        <v>25080</v>
      </c>
      <c r="H44" s="101"/>
    </row>
    <row r="45" spans="1:13" hidden="1" x14ac:dyDescent="0.2">
      <c r="A45" s="102" t="s">
        <v>257</v>
      </c>
      <c r="B45"/>
      <c r="C45"/>
      <c r="D45"/>
      <c r="F45" s="4">
        <f>SUM('[1]FRB 2001-RO'!H21)</f>
        <v>18163</v>
      </c>
      <c r="H45" s="101"/>
    </row>
    <row r="46" spans="1:13" hidden="1" x14ac:dyDescent="0.2">
      <c r="A46" s="102" t="s">
        <v>399</v>
      </c>
      <c r="B46"/>
      <c r="C46"/>
      <c r="D46"/>
      <c r="F46" s="4">
        <f>SUM(F44:F45)</f>
        <v>43243</v>
      </c>
      <c r="H46" s="101"/>
    </row>
    <row r="47" spans="1:13" hidden="1" x14ac:dyDescent="0.2">
      <c r="A47" s="102" t="s">
        <v>400</v>
      </c>
      <c r="B47"/>
      <c r="C47"/>
      <c r="D47"/>
      <c r="F47" s="4">
        <v>3170</v>
      </c>
      <c r="H47" s="101"/>
    </row>
    <row r="48" spans="1:13" hidden="1" x14ac:dyDescent="0.2">
      <c r="A48" s="102" t="s">
        <v>46</v>
      </c>
      <c r="B48"/>
      <c r="C48"/>
      <c r="D48"/>
      <c r="F48" s="4">
        <f>SUM('[1]FRB 2001-RO'!H58)</f>
        <v>50498</v>
      </c>
      <c r="H48" s="101"/>
    </row>
    <row r="49" spans="1:13" hidden="1" x14ac:dyDescent="0.2">
      <c r="A49" s="102" t="s">
        <v>47</v>
      </c>
      <c r="B49"/>
      <c r="C49"/>
      <c r="D49"/>
      <c r="F49" s="4">
        <f>F46-F47-F48</f>
        <v>-10425</v>
      </c>
      <c r="H49" s="101"/>
    </row>
    <row r="50" spans="1:13" hidden="1" x14ac:dyDescent="0.2">
      <c r="A50" s="102"/>
      <c r="B50"/>
      <c r="C50"/>
      <c r="D50"/>
      <c r="F50" s="4">
        <v>3170</v>
      </c>
      <c r="H50" s="101"/>
    </row>
    <row r="51" spans="1:13" hidden="1" x14ac:dyDescent="0.2">
      <c r="A51" s="102" t="s">
        <v>501</v>
      </c>
      <c r="B51"/>
      <c r="C51"/>
      <c r="D51"/>
      <c r="F51" s="4">
        <f>F49+F50</f>
        <v>-7255</v>
      </c>
      <c r="H51" s="101"/>
    </row>
    <row r="52" spans="1:13" hidden="1" x14ac:dyDescent="0.2">
      <c r="A52" s="3"/>
      <c r="B52"/>
      <c r="C52"/>
      <c r="D52"/>
      <c r="H52" s="101"/>
    </row>
    <row r="53" spans="1:13" hidden="1" x14ac:dyDescent="0.2">
      <c r="A53" s="102" t="s">
        <v>502</v>
      </c>
      <c r="B53"/>
      <c r="C53"/>
      <c r="D53"/>
      <c r="F53" s="4" t="e">
        <f>SUM(F22)</f>
        <v>#REF!</v>
      </c>
      <c r="H53" s="101"/>
    </row>
    <row r="54" spans="1:13" hidden="1" x14ac:dyDescent="0.2">
      <c r="A54" s="102" t="s">
        <v>38</v>
      </c>
      <c r="B54"/>
      <c r="C54"/>
      <c r="D54"/>
      <c r="F54" s="103" t="e">
        <f>F51+F53</f>
        <v>#REF!</v>
      </c>
      <c r="H54" s="101"/>
    </row>
    <row r="55" spans="1:13" hidden="1" x14ac:dyDescent="0.2">
      <c r="A55" s="3"/>
      <c r="B55"/>
      <c r="C55"/>
      <c r="D55"/>
      <c r="H55" s="101"/>
    </row>
    <row r="56" spans="1:13" hidden="1" x14ac:dyDescent="0.2">
      <c r="A56" s="102" t="s">
        <v>214</v>
      </c>
      <c r="B56"/>
      <c r="C56"/>
      <c r="D56"/>
      <c r="F56" s="103" t="e">
        <f>SUM(F39)</f>
        <v>#REF!</v>
      </c>
      <c r="H56" s="101"/>
    </row>
    <row r="57" spans="1:13" hidden="1" x14ac:dyDescent="0.2">
      <c r="A57" s="102" t="s">
        <v>483</v>
      </c>
      <c r="B57"/>
      <c r="C57"/>
      <c r="D57"/>
      <c r="F57" s="4" t="e">
        <f>SUM(F29)</f>
        <v>#REF!</v>
      </c>
      <c r="H57" s="101"/>
    </row>
    <row r="58" spans="1:13" hidden="1" x14ac:dyDescent="0.2">
      <c r="A58" s="102" t="s">
        <v>223</v>
      </c>
      <c r="B58"/>
      <c r="C58"/>
      <c r="D58"/>
      <c r="F58" s="4" t="e">
        <f>SUM(F37)</f>
        <v>#REF!</v>
      </c>
      <c r="H58" s="101"/>
    </row>
    <row r="59" spans="1:13" hidden="1" x14ac:dyDescent="0.2">
      <c r="A59" s="102" t="s">
        <v>494</v>
      </c>
      <c r="B59"/>
      <c r="C59"/>
      <c r="D59"/>
      <c r="F59" s="4" t="e">
        <f>SUM(F33)</f>
        <v>#REF!</v>
      </c>
      <c r="H59" s="101"/>
    </row>
    <row r="60" spans="1:13" hidden="1" x14ac:dyDescent="0.2">
      <c r="A60" s="102" t="s">
        <v>253</v>
      </c>
      <c r="B60"/>
      <c r="C60"/>
      <c r="D60"/>
      <c r="F60" s="4" t="e">
        <f>SUM(#REF!)</f>
        <v>#REF!</v>
      </c>
      <c r="H60" s="101"/>
    </row>
    <row r="61" spans="1:13" hidden="1" x14ac:dyDescent="0.2">
      <c r="A61" s="102" t="s">
        <v>289</v>
      </c>
      <c r="B61"/>
      <c r="C61"/>
      <c r="D61"/>
      <c r="F61" s="4" t="e">
        <f>SUM(F34)</f>
        <v>#REF!</v>
      </c>
      <c r="H61" s="101"/>
    </row>
    <row r="62" spans="1:13" hidden="1" x14ac:dyDescent="0.2">
      <c r="A62" s="3"/>
      <c r="B62"/>
      <c r="C62"/>
      <c r="D62"/>
      <c r="H62" s="101"/>
      <c r="M62" s="4" t="e">
        <f>SUM(F57:F61)</f>
        <v>#REF!</v>
      </c>
    </row>
    <row r="63" spans="1:13" hidden="1" x14ac:dyDescent="0.2">
      <c r="A63" s="102" t="s">
        <v>236</v>
      </c>
      <c r="B63"/>
      <c r="C63"/>
      <c r="D63"/>
      <c r="F63" s="103" t="e">
        <f>F54-F56</f>
        <v>#REF!</v>
      </c>
      <c r="H63" s="101"/>
    </row>
    <row r="64" spans="1:13" x14ac:dyDescent="0.2">
      <c r="A64" s="3"/>
      <c r="B64"/>
      <c r="C64"/>
      <c r="D64"/>
      <c r="F64"/>
      <c r="H64" s="101"/>
    </row>
    <row r="65" spans="1:10" x14ac:dyDescent="0.2">
      <c r="A65" s="3"/>
      <c r="B65"/>
      <c r="C65"/>
      <c r="D65"/>
      <c r="E65" s="104"/>
      <c r="F65"/>
      <c r="H65" s="54" t="s">
        <v>120</v>
      </c>
      <c r="J65" s="54"/>
    </row>
    <row r="66" spans="1:10" x14ac:dyDescent="0.2">
      <c r="A66" s="3"/>
      <c r="B66"/>
      <c r="C66"/>
      <c r="D66"/>
      <c r="E66" s="104"/>
      <c r="F66"/>
      <c r="H66" s="55" t="s">
        <v>121</v>
      </c>
      <c r="J66" s="55"/>
    </row>
    <row r="67" spans="1:10" x14ac:dyDescent="0.2">
      <c r="A67" s="3"/>
      <c r="B67"/>
      <c r="C67"/>
      <c r="D67"/>
      <c r="F67"/>
      <c r="H67" s="101"/>
    </row>
    <row r="68" spans="1:10" x14ac:dyDescent="0.2">
      <c r="A68" s="3"/>
      <c r="B68"/>
      <c r="C68"/>
      <c r="D68"/>
      <c r="F68"/>
      <c r="H68" s="101"/>
    </row>
    <row r="69" spans="1:10" x14ac:dyDescent="0.2">
      <c r="A69" s="3"/>
      <c r="B69"/>
      <c r="C69"/>
      <c r="D69"/>
      <c r="F69"/>
      <c r="H69" s="101"/>
    </row>
    <row r="70" spans="1:10" x14ac:dyDescent="0.2">
      <c r="A70" s="3"/>
      <c r="B70"/>
      <c r="C70"/>
      <c r="D70"/>
      <c r="F70"/>
      <c r="H70" s="101"/>
    </row>
    <row r="71" spans="1:10" x14ac:dyDescent="0.2">
      <c r="A71" s="3"/>
      <c r="B71"/>
      <c r="C71"/>
      <c r="D71"/>
      <c r="F71"/>
      <c r="H71" s="101"/>
    </row>
    <row r="72" spans="1:10" x14ac:dyDescent="0.2">
      <c r="A72" s="3"/>
      <c r="B72"/>
      <c r="C72"/>
      <c r="D72"/>
      <c r="F72"/>
      <c r="H72" s="101"/>
    </row>
    <row r="73" spans="1:10" x14ac:dyDescent="0.2">
      <c r="A73" s="3"/>
      <c r="B73"/>
      <c r="C73"/>
      <c r="D73"/>
      <c r="F73"/>
      <c r="H73" s="101"/>
    </row>
    <row r="74" spans="1:10" x14ac:dyDescent="0.2">
      <c r="A74" s="3"/>
      <c r="B74"/>
      <c r="C74"/>
      <c r="D74"/>
      <c r="F74"/>
      <c r="H74" s="101"/>
    </row>
    <row r="75" spans="1:10" x14ac:dyDescent="0.2">
      <c r="A75" s="3"/>
      <c r="B75"/>
      <c r="C75"/>
      <c r="D75"/>
      <c r="F75"/>
      <c r="H75" s="101"/>
    </row>
    <row r="76" spans="1:10" x14ac:dyDescent="0.2">
      <c r="A76" s="3"/>
      <c r="B76"/>
      <c r="C76"/>
      <c r="D76"/>
      <c r="F76"/>
      <c r="H76" s="101"/>
    </row>
    <row r="77" spans="1:10" x14ac:dyDescent="0.2">
      <c r="A77" s="3"/>
      <c r="B77"/>
      <c r="C77"/>
      <c r="D77"/>
      <c r="F77"/>
      <c r="H77" s="101"/>
    </row>
    <row r="78" spans="1:10" x14ac:dyDescent="0.2">
      <c r="A78" s="3"/>
      <c r="B78"/>
      <c r="C78"/>
      <c r="D78"/>
      <c r="F78"/>
      <c r="H78" s="101"/>
    </row>
    <row r="79" spans="1:10" x14ac:dyDescent="0.2">
      <c r="A79" s="3"/>
      <c r="B79"/>
      <c r="C79"/>
      <c r="D79"/>
      <c r="F79"/>
      <c r="H79" s="101"/>
    </row>
    <row r="80" spans="1:10" x14ac:dyDescent="0.2">
      <c r="A80" s="3"/>
      <c r="B80"/>
      <c r="C80"/>
      <c r="D80"/>
      <c r="F80"/>
      <c r="H80" s="101"/>
    </row>
    <row r="81" spans="1:8" x14ac:dyDescent="0.2">
      <c r="A81" s="3"/>
      <c r="B81"/>
      <c r="C81"/>
      <c r="D81"/>
      <c r="F81"/>
      <c r="H81" s="101"/>
    </row>
    <row r="82" spans="1:8" x14ac:dyDescent="0.2">
      <c r="A82" s="3"/>
      <c r="B82"/>
      <c r="C82"/>
      <c r="D82"/>
      <c r="F82"/>
      <c r="H82" s="101"/>
    </row>
    <row r="83" spans="1:8" x14ac:dyDescent="0.2">
      <c r="A83" s="3"/>
      <c r="B83"/>
      <c r="C83"/>
      <c r="D83"/>
      <c r="F83"/>
      <c r="H83" s="101"/>
    </row>
    <row r="84" spans="1:8" x14ac:dyDescent="0.2">
      <c r="A84" s="3"/>
      <c r="B84"/>
      <c r="C84"/>
      <c r="D84"/>
      <c r="F84"/>
      <c r="H84" s="101"/>
    </row>
    <row r="85" spans="1:8" x14ac:dyDescent="0.2">
      <c r="A85" s="3"/>
      <c r="B85"/>
      <c r="C85"/>
      <c r="D85"/>
      <c r="F85"/>
      <c r="H85" s="101"/>
    </row>
    <row r="86" spans="1:8" x14ac:dyDescent="0.2">
      <c r="A86" s="3"/>
      <c r="B86"/>
      <c r="C86"/>
      <c r="D86"/>
      <c r="F86"/>
      <c r="H86" s="101"/>
    </row>
    <row r="87" spans="1:8" x14ac:dyDescent="0.2">
      <c r="A87" s="3"/>
      <c r="B87"/>
      <c r="C87"/>
      <c r="D87"/>
      <c r="F87"/>
      <c r="H87" s="101"/>
    </row>
    <row r="88" spans="1:8" x14ac:dyDescent="0.2">
      <c r="A88" s="3"/>
      <c r="H88" s="101"/>
    </row>
    <row r="89" spans="1:8" x14ac:dyDescent="0.2">
      <c r="A89" s="3"/>
      <c r="H89" s="101"/>
    </row>
    <row r="90" spans="1:8" x14ac:dyDescent="0.2">
      <c r="A90" s="3"/>
      <c r="H90" s="101"/>
    </row>
    <row r="91" spans="1:8" x14ac:dyDescent="0.2">
      <c r="A91" s="3"/>
      <c r="H91" s="101"/>
    </row>
    <row r="92" spans="1:8" x14ac:dyDescent="0.2">
      <c r="A92" s="3"/>
      <c r="H92" s="101"/>
    </row>
    <row r="93" spans="1:8" x14ac:dyDescent="0.2">
      <c r="A93" s="3"/>
      <c r="H93" s="101"/>
    </row>
    <row r="94" spans="1:8" x14ac:dyDescent="0.2">
      <c r="A94" s="3"/>
      <c r="H94" s="101"/>
    </row>
    <row r="95" spans="1:8" x14ac:dyDescent="0.2">
      <c r="A95" s="3"/>
      <c r="H95" s="101"/>
    </row>
    <row r="96" spans="1:8" x14ac:dyDescent="0.2">
      <c r="A96" s="3"/>
      <c r="H96" s="101"/>
    </row>
    <row r="97" spans="1:8" x14ac:dyDescent="0.2">
      <c r="A97" s="3"/>
      <c r="H97" s="101"/>
    </row>
    <row r="98" spans="1:8" x14ac:dyDescent="0.2">
      <c r="A98" s="3"/>
      <c r="H98" s="101"/>
    </row>
    <row r="99" spans="1:8" x14ac:dyDescent="0.2">
      <c r="A99" s="3"/>
      <c r="H99" s="101"/>
    </row>
    <row r="100" spans="1:8" x14ac:dyDescent="0.2">
      <c r="A100" s="3"/>
    </row>
    <row r="101" spans="1:8" x14ac:dyDescent="0.2">
      <c r="A101" s="3"/>
    </row>
    <row r="102" spans="1:8" x14ac:dyDescent="0.2">
      <c r="A102" s="3"/>
    </row>
    <row r="103" spans="1:8" x14ac:dyDescent="0.2">
      <c r="A103" s="3"/>
    </row>
    <row r="104" spans="1:8" x14ac:dyDescent="0.2">
      <c r="A104" s="3"/>
    </row>
    <row r="105" spans="1:8" x14ac:dyDescent="0.2">
      <c r="A105" s="3"/>
    </row>
    <row r="106" spans="1:8" x14ac:dyDescent="0.2">
      <c r="A106" s="3"/>
    </row>
    <row r="107" spans="1:8" x14ac:dyDescent="0.2">
      <c r="A107" s="3"/>
    </row>
    <row r="108" spans="1:8" x14ac:dyDescent="0.2">
      <c r="A108" s="3"/>
    </row>
    <row r="109" spans="1:8" x14ac:dyDescent="0.2">
      <c r="A109" s="3"/>
    </row>
    <row r="110" spans="1:8" x14ac:dyDescent="0.2">
      <c r="A110" s="3"/>
    </row>
    <row r="111" spans="1:8" x14ac:dyDescent="0.2">
      <c r="A111" s="3"/>
    </row>
    <row r="112" spans="1:8" x14ac:dyDescent="0.2">
      <c r="A112" s="3"/>
    </row>
    <row r="113" spans="1:1" x14ac:dyDescent="0.2">
      <c r="A113" s="3"/>
    </row>
    <row r="114" spans="1:1" x14ac:dyDescent="0.2">
      <c r="A114" s="3"/>
    </row>
    <row r="115" spans="1:1" x14ac:dyDescent="0.2">
      <c r="A115" s="3"/>
    </row>
    <row r="116" spans="1:1" x14ac:dyDescent="0.2">
      <c r="A116" s="3"/>
    </row>
    <row r="117" spans="1:1" x14ac:dyDescent="0.2">
      <c r="A117" s="3"/>
    </row>
    <row r="118" spans="1:1" x14ac:dyDescent="0.2">
      <c r="A118" s="3"/>
    </row>
    <row r="119" spans="1:1" x14ac:dyDescent="0.2">
      <c r="A119" s="3"/>
    </row>
    <row r="120" spans="1:1" x14ac:dyDescent="0.2">
      <c r="A120" s="3"/>
    </row>
    <row r="121" spans="1:1" x14ac:dyDescent="0.2">
      <c r="A121" s="3"/>
    </row>
    <row r="122" spans="1:1" x14ac:dyDescent="0.2">
      <c r="A122" s="3"/>
    </row>
    <row r="123" spans="1:1" x14ac:dyDescent="0.2">
      <c r="A123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65" orientation="landscape" horizontalDpi="4294967292" r:id="rId1"/>
  <headerFooter alignWithMargins="0">
    <oddHeader xml:space="preserve">&amp;L&amp;"Times New Roman,Obyčejné"&amp;12Město Ostrov&amp;C
&amp;R&amp;"Times New Roman,Obyčejné"&amp;12M: 3 b  
&amp;"Arial CE,Obyčejné"
</oddHeader>
    <oddFooter xml:space="preserve">&amp;L&amp;9FRB 2006
&amp;C&amp;P&amp;RZpracoval:  OF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152"/>
  <sheetViews>
    <sheetView zoomScale="75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F56" sqref="F56"/>
    </sheetView>
  </sheetViews>
  <sheetFormatPr defaultRowHeight="12.75" x14ac:dyDescent="0.2"/>
  <cols>
    <col min="1" max="1" width="7.7109375" customWidth="1"/>
    <col min="2" max="3" width="6.28515625" style="100" customWidth="1"/>
    <col min="4" max="4" width="8.85546875" style="100" customWidth="1"/>
    <col min="5" max="5" width="9.42578125" style="100" customWidth="1"/>
    <col min="6" max="6" width="112.5703125" customWidth="1"/>
    <col min="7" max="7" width="12.42578125" style="4" bestFit="1" customWidth="1"/>
    <col min="10" max="10" width="11.5703125" customWidth="1"/>
    <col min="11" max="11" width="10.42578125" customWidth="1"/>
    <col min="13" max="13" width="13.5703125" hidden="1" customWidth="1"/>
    <col min="14" max="14" width="9" customWidth="1"/>
  </cols>
  <sheetData>
    <row r="1" spans="1:15" ht="20.25" customHeight="1" x14ac:dyDescent="0.25">
      <c r="A1" s="57"/>
      <c r="B1" s="57"/>
      <c r="C1" s="57"/>
      <c r="D1" s="57"/>
      <c r="E1" s="57"/>
      <c r="F1" s="58" t="s">
        <v>83</v>
      </c>
      <c r="G1" s="57"/>
      <c r="H1" s="59"/>
      <c r="I1" s="59"/>
      <c r="J1" s="59"/>
      <c r="K1" s="59"/>
      <c r="L1" s="59"/>
      <c r="M1" s="59"/>
      <c r="N1" s="59"/>
    </row>
    <row r="2" spans="1:15" ht="15.75" x14ac:dyDescent="0.25">
      <c r="A2" s="60"/>
      <c r="B2" s="60"/>
      <c r="C2" s="60"/>
      <c r="D2" s="60"/>
      <c r="E2" s="60"/>
      <c r="F2" s="685" t="s">
        <v>192</v>
      </c>
      <c r="G2" s="60"/>
      <c r="H2" s="479"/>
      <c r="I2" s="59"/>
      <c r="J2" s="59"/>
      <c r="K2" s="61"/>
      <c r="L2" s="59"/>
      <c r="M2" s="59"/>
      <c r="N2" s="59"/>
      <c r="O2" s="6"/>
    </row>
    <row r="3" spans="1:15" ht="15.75" x14ac:dyDescent="0.25">
      <c r="B3" s="62"/>
      <c r="C3" s="62"/>
      <c r="D3" s="62"/>
      <c r="E3" s="62"/>
      <c r="F3" s="2"/>
      <c r="G3" s="254" t="s">
        <v>205</v>
      </c>
      <c r="H3" s="590" t="s">
        <v>202</v>
      </c>
      <c r="I3" s="388" t="s">
        <v>21</v>
      </c>
      <c r="J3" s="389" t="s">
        <v>378</v>
      </c>
      <c r="K3" s="105"/>
      <c r="L3" s="105"/>
      <c r="M3" s="65" t="s">
        <v>51</v>
      </c>
    </row>
    <row r="4" spans="1:15" ht="15" x14ac:dyDescent="0.25">
      <c r="A4" s="197" t="s">
        <v>3</v>
      </c>
      <c r="B4" s="179" t="s">
        <v>4</v>
      </c>
      <c r="C4" s="179" t="s">
        <v>5</v>
      </c>
      <c r="D4" s="179" t="s">
        <v>6</v>
      </c>
      <c r="E4" s="179"/>
      <c r="F4" s="179" t="s">
        <v>52</v>
      </c>
      <c r="G4" s="200" t="s">
        <v>53</v>
      </c>
      <c r="H4" s="66" t="s">
        <v>53</v>
      </c>
      <c r="I4" s="390" t="s">
        <v>53</v>
      </c>
      <c r="J4" s="391" t="s">
        <v>74</v>
      </c>
      <c r="K4" s="106"/>
      <c r="L4" s="69"/>
      <c r="M4" s="199" t="s">
        <v>55</v>
      </c>
      <c r="N4" s="69"/>
    </row>
    <row r="5" spans="1:15" ht="14.25" x14ac:dyDescent="0.2">
      <c r="A5" s="171" t="s">
        <v>265</v>
      </c>
      <c r="B5" s="609">
        <v>6310</v>
      </c>
      <c r="C5" s="609">
        <v>2141</v>
      </c>
      <c r="D5" s="609">
        <v>2004</v>
      </c>
      <c r="E5" s="610"/>
      <c r="F5" s="611" t="s">
        <v>104</v>
      </c>
      <c r="G5" s="265" t="e">
        <f>SUM(Žádost!#REF!)</f>
        <v>#REF!</v>
      </c>
      <c r="H5" s="248" t="e">
        <f>SUM(Žádost!#REF!)</f>
        <v>#REF!</v>
      </c>
      <c r="I5" s="248" t="e">
        <f>SUM(Žádost!#REF!)</f>
        <v>#REF!</v>
      </c>
      <c r="J5" s="249" t="e">
        <f>I5/H5</f>
        <v>#REF!</v>
      </c>
      <c r="K5" s="4"/>
      <c r="L5" s="72"/>
      <c r="M5" s="4"/>
    </row>
    <row r="6" spans="1:15" ht="14.25" x14ac:dyDescent="0.2">
      <c r="A6" s="171" t="s">
        <v>265</v>
      </c>
      <c r="B6" s="609">
        <v>6310</v>
      </c>
      <c r="C6" s="609">
        <v>2142</v>
      </c>
      <c r="D6" s="609"/>
      <c r="E6" s="612"/>
      <c r="F6" s="613" t="s">
        <v>183</v>
      </c>
      <c r="G6" s="516" t="e">
        <f>SUM(Žádost!#REF!)</f>
        <v>#REF!</v>
      </c>
      <c r="H6" s="248" t="e">
        <f>SUM(Žádost!#REF!)</f>
        <v>#REF!</v>
      </c>
      <c r="I6" s="248" t="e">
        <f>SUM(Žádost!#REF!)</f>
        <v>#REF!</v>
      </c>
      <c r="J6" s="249" t="e">
        <f>I6/H6</f>
        <v>#REF!</v>
      </c>
      <c r="K6" s="4"/>
      <c r="L6" s="72"/>
      <c r="M6" s="4"/>
    </row>
    <row r="7" spans="1:15" ht="15" x14ac:dyDescent="0.25">
      <c r="A7" s="614"/>
      <c r="B7" s="615"/>
      <c r="C7" s="615"/>
      <c r="D7" s="615"/>
      <c r="E7" s="615"/>
      <c r="F7" s="205" t="s">
        <v>299</v>
      </c>
      <c r="G7" s="195" t="e">
        <f>SUM(G5:G6)</f>
        <v>#REF!</v>
      </c>
      <c r="H7" s="195" t="e">
        <f>SUM(H5:H6)</f>
        <v>#REF!</v>
      </c>
      <c r="I7" s="195" t="e">
        <f>SUM(I5:I6)</f>
        <v>#REF!</v>
      </c>
      <c r="J7" s="247" t="e">
        <f>I7/H7</f>
        <v>#REF!</v>
      </c>
      <c r="K7" s="4"/>
      <c r="L7" s="72"/>
      <c r="M7" s="4"/>
    </row>
    <row r="8" spans="1:15" ht="14.25" x14ac:dyDescent="0.2">
      <c r="A8" s="171" t="s">
        <v>265</v>
      </c>
      <c r="B8" s="609">
        <v>0</v>
      </c>
      <c r="C8" s="609">
        <v>8115</v>
      </c>
      <c r="D8" s="609"/>
      <c r="E8" s="609"/>
      <c r="F8" s="705" t="s">
        <v>297</v>
      </c>
      <c r="G8" s="706" t="e">
        <f>SUM(Žádost!#REF!)</f>
        <v>#REF!</v>
      </c>
      <c r="H8" s="476" t="e">
        <f>SUM(Žádost!#REF!)</f>
        <v>#REF!</v>
      </c>
      <c r="I8" s="248" t="e">
        <f>SUM(Žádost!#REF!)</f>
        <v>#REF!</v>
      </c>
      <c r="J8" s="249"/>
      <c r="K8" s="4"/>
      <c r="L8" s="72"/>
      <c r="M8" s="4"/>
    </row>
    <row r="9" spans="1:15" ht="15" x14ac:dyDescent="0.25">
      <c r="A9" s="484"/>
      <c r="B9" s="616"/>
      <c r="C9" s="616"/>
      <c r="D9" s="616"/>
      <c r="E9" s="616"/>
      <c r="F9" s="205" t="s">
        <v>298</v>
      </c>
      <c r="G9" s="194" t="e">
        <f>SUM(G7:G8)</f>
        <v>#REF!</v>
      </c>
      <c r="H9" s="194" t="e">
        <f>SUM(H7:H8)</f>
        <v>#REF!</v>
      </c>
      <c r="I9" s="194" t="e">
        <f>SUM(I7:I8)</f>
        <v>#REF!</v>
      </c>
      <c r="J9" s="247" t="e">
        <f>I9/H9</f>
        <v>#REF!</v>
      </c>
      <c r="K9" s="109"/>
      <c r="L9" s="84"/>
      <c r="M9" s="85">
        <f>SUM(M5:M5)</f>
        <v>0</v>
      </c>
    </row>
    <row r="10" spans="1:15" ht="15" hidden="1" x14ac:dyDescent="0.25">
      <c r="A10" s="484"/>
      <c r="B10" s="616"/>
      <c r="C10" s="616"/>
      <c r="D10" s="616"/>
      <c r="E10" s="616"/>
      <c r="F10" s="617"/>
      <c r="G10" s="618"/>
      <c r="H10" s="94"/>
      <c r="I10" s="94"/>
      <c r="J10" s="94"/>
      <c r="K10" s="94"/>
      <c r="L10" s="84"/>
      <c r="M10" s="94"/>
    </row>
    <row r="11" spans="1:15" ht="15" hidden="1" x14ac:dyDescent="0.25">
      <c r="A11" s="484"/>
      <c r="B11" s="616"/>
      <c r="C11" s="616"/>
      <c r="D11" s="616"/>
      <c r="E11" s="616"/>
      <c r="F11" s="619"/>
      <c r="G11" s="620"/>
      <c r="H11" s="39"/>
      <c r="I11" s="39"/>
      <c r="J11" s="39"/>
      <c r="K11" s="39"/>
      <c r="L11" s="111"/>
      <c r="M11" s="39"/>
    </row>
    <row r="12" spans="1:15" ht="14.25" hidden="1" x14ac:dyDescent="0.2">
      <c r="A12" s="621"/>
      <c r="B12" s="622"/>
      <c r="C12" s="622"/>
      <c r="D12" s="623"/>
      <c r="E12" s="624"/>
      <c r="F12" s="625"/>
      <c r="G12" s="626"/>
      <c r="H12" s="48"/>
      <c r="I12" s="48"/>
      <c r="J12" s="72" t="e">
        <f>I12/H12</f>
        <v>#DIV/0!</v>
      </c>
      <c r="K12" s="48"/>
      <c r="L12" s="84"/>
      <c r="M12" s="94"/>
    </row>
    <row r="13" spans="1:15" ht="15" hidden="1" x14ac:dyDescent="0.25">
      <c r="A13" s="10"/>
      <c r="B13" s="10"/>
      <c r="C13" s="10"/>
      <c r="D13" s="10"/>
      <c r="E13" s="10"/>
      <c r="F13" s="193" t="s">
        <v>474</v>
      </c>
      <c r="G13" s="194">
        <f>SUM(G12)</f>
        <v>0</v>
      </c>
      <c r="H13" s="93">
        <f>SUM(H12)</f>
        <v>0</v>
      </c>
      <c r="I13" s="93">
        <f>SUM(I12)</f>
        <v>0</v>
      </c>
      <c r="J13" s="83" t="e">
        <f>I13/H13</f>
        <v>#DIV/0!</v>
      </c>
      <c r="K13" s="109"/>
      <c r="L13" s="84"/>
      <c r="M13" s="112">
        <f>M11</f>
        <v>0</v>
      </c>
    </row>
    <row r="14" spans="1:15" ht="15" x14ac:dyDescent="0.25">
      <c r="A14" s="10"/>
      <c r="B14" s="10"/>
      <c r="C14" s="10"/>
      <c r="D14" s="10"/>
      <c r="E14" s="10"/>
      <c r="F14" s="25"/>
      <c r="G14" s="159"/>
    </row>
    <row r="15" spans="1:15" ht="15" x14ac:dyDescent="0.25">
      <c r="A15" s="733" t="s">
        <v>274</v>
      </c>
      <c r="B15" s="733"/>
      <c r="C15" s="733"/>
      <c r="D15" s="733"/>
      <c r="E15" s="733"/>
      <c r="F15" s="235"/>
      <c r="G15" s="477" t="e">
        <f>SUM(G9,G13)</f>
        <v>#REF!</v>
      </c>
      <c r="H15" s="477" t="e">
        <f>SUM(H9,H13)</f>
        <v>#REF!</v>
      </c>
      <c r="I15" s="477" t="e">
        <f>SUM(I9,I13)</f>
        <v>#REF!</v>
      </c>
      <c r="J15" s="416" t="e">
        <f>I15/H15</f>
        <v>#REF!</v>
      </c>
      <c r="K15" s="88"/>
      <c r="L15" s="89"/>
      <c r="M15" s="87">
        <f>SUM(M9,M13)</f>
        <v>0</v>
      </c>
    </row>
    <row r="16" spans="1:15" ht="15" x14ac:dyDescent="0.25">
      <c r="A16" s="627" t="s">
        <v>99</v>
      </c>
      <c r="B16" s="628"/>
      <c r="C16" s="628"/>
      <c r="D16" s="628"/>
      <c r="E16" s="628"/>
      <c r="F16" s="191"/>
      <c r="G16" s="417" t="e">
        <f>G15-G8</f>
        <v>#REF!</v>
      </c>
      <c r="H16" s="417" t="e">
        <f>H15-H8</f>
        <v>#REF!</v>
      </c>
      <c r="I16" s="75"/>
      <c r="J16" s="75"/>
      <c r="K16" s="75"/>
      <c r="L16" s="89"/>
    </row>
    <row r="17" spans="1:14" ht="15" x14ac:dyDescent="0.25">
      <c r="A17" s="190"/>
      <c r="B17" s="629"/>
      <c r="C17" s="629"/>
      <c r="D17" s="629"/>
      <c r="E17" s="629"/>
      <c r="F17" s="190"/>
      <c r="G17" s="570"/>
      <c r="H17" s="190"/>
      <c r="I17" s="630" t="s">
        <v>152</v>
      </c>
      <c r="J17" s="686" t="s">
        <v>378</v>
      </c>
      <c r="K17" s="632" t="s">
        <v>355</v>
      </c>
      <c r="L17" s="631" t="s">
        <v>318</v>
      </c>
      <c r="M17" s="190"/>
      <c r="N17" s="633"/>
    </row>
    <row r="18" spans="1:14" ht="15" x14ac:dyDescent="0.25">
      <c r="A18" s="560"/>
      <c r="B18" s="629"/>
      <c r="C18" s="629"/>
      <c r="D18" s="629"/>
      <c r="E18" s="629"/>
      <c r="F18" s="190"/>
      <c r="G18" s="634"/>
      <c r="H18" s="190"/>
      <c r="I18" s="635" t="s">
        <v>53</v>
      </c>
      <c r="J18" s="636" t="s">
        <v>74</v>
      </c>
      <c r="K18" s="635" t="s">
        <v>53</v>
      </c>
      <c r="L18" s="636" t="s">
        <v>74</v>
      </c>
      <c r="M18" s="190"/>
      <c r="N18" s="637" t="s">
        <v>164</v>
      </c>
    </row>
    <row r="19" spans="1:14" ht="15" x14ac:dyDescent="0.25">
      <c r="A19" s="533" t="s">
        <v>3</v>
      </c>
      <c r="B19" s="533" t="s">
        <v>4</v>
      </c>
      <c r="C19" s="533" t="s">
        <v>5</v>
      </c>
      <c r="D19" s="533" t="s">
        <v>6</v>
      </c>
      <c r="E19" s="638" t="s">
        <v>103</v>
      </c>
      <c r="F19" s="533" t="s">
        <v>356</v>
      </c>
      <c r="G19" s="535" t="s">
        <v>53</v>
      </c>
      <c r="H19" s="535" t="s">
        <v>53</v>
      </c>
      <c r="I19" s="535" t="s">
        <v>53</v>
      </c>
      <c r="J19" s="535" t="s">
        <v>74</v>
      </c>
      <c r="K19" s="535" t="s">
        <v>53</v>
      </c>
      <c r="L19" s="523" t="s">
        <v>74</v>
      </c>
      <c r="M19" s="639" t="s">
        <v>53</v>
      </c>
      <c r="N19" s="640"/>
    </row>
    <row r="20" spans="1:14" ht="14.25" x14ac:dyDescent="0.2">
      <c r="A20" s="526" t="s">
        <v>321</v>
      </c>
      <c r="B20" s="526">
        <v>3636</v>
      </c>
      <c r="C20" s="526">
        <v>6119</v>
      </c>
      <c r="D20" s="524">
        <v>5581</v>
      </c>
      <c r="E20" s="718"/>
      <c r="F20" s="693" t="s">
        <v>146</v>
      </c>
      <c r="G20" s="714" t="e">
        <f>SUM(#REF!)</f>
        <v>#REF!</v>
      </c>
      <c r="H20" s="714" t="e">
        <f>SUM(#REF!)</f>
        <v>#REF!</v>
      </c>
      <c r="I20" s="710" t="e">
        <f>SUM(#REF!)</f>
        <v>#REF!</v>
      </c>
      <c r="J20" s="666" t="e">
        <f t="shared" ref="J20:J26" si="0">I20/H20</f>
        <v>#REF!</v>
      </c>
      <c r="K20" s="524" t="e">
        <f>SUM(#REF!)</f>
        <v>#REF!</v>
      </c>
      <c r="L20" s="666" t="e">
        <f>K20/H20</f>
        <v>#REF!</v>
      </c>
      <c r="M20" s="169"/>
      <c r="N20" s="169"/>
    </row>
    <row r="21" spans="1:14" ht="14.25" hidden="1" x14ac:dyDescent="0.2">
      <c r="A21" s="551"/>
      <c r="B21" s="551">
        <v>3636</v>
      </c>
      <c r="C21" s="551"/>
      <c r="D21" s="638"/>
      <c r="E21" s="638"/>
      <c r="F21" s="525"/>
      <c r="G21" s="710"/>
      <c r="H21" s="710"/>
      <c r="I21" s="710"/>
      <c r="J21" s="666" t="e">
        <f t="shared" si="0"/>
        <v>#DIV/0!</v>
      </c>
      <c r="K21" s="524"/>
      <c r="L21" s="666" t="e">
        <f>K21/H21</f>
        <v>#DIV/0!</v>
      </c>
      <c r="M21" s="169"/>
      <c r="N21" s="169"/>
    </row>
    <row r="22" spans="1:14" ht="14.25" hidden="1" x14ac:dyDescent="0.2">
      <c r="A22" s="551"/>
      <c r="B22" s="711"/>
      <c r="C22" s="711"/>
      <c r="D22" s="711"/>
      <c r="E22" s="711"/>
      <c r="F22" s="712"/>
      <c r="G22" s="207"/>
      <c r="H22" s="713"/>
      <c r="I22" s="713"/>
      <c r="J22" s="666" t="e">
        <f t="shared" si="0"/>
        <v>#DIV/0!</v>
      </c>
      <c r="K22" s="710"/>
      <c r="L22" s="666" t="e">
        <f>K22/H22</f>
        <v>#DIV/0!</v>
      </c>
      <c r="M22" s="168"/>
      <c r="N22" s="169"/>
    </row>
    <row r="23" spans="1:14" ht="14.25" hidden="1" x14ac:dyDescent="0.2">
      <c r="A23" s="551"/>
      <c r="B23" s="711"/>
      <c r="C23" s="711"/>
      <c r="D23" s="711"/>
      <c r="E23" s="711"/>
      <c r="F23" s="712"/>
      <c r="G23" s="189"/>
      <c r="H23" s="189"/>
      <c r="I23" s="189"/>
      <c r="J23" s="666" t="e">
        <f t="shared" si="0"/>
        <v>#DIV/0!</v>
      </c>
      <c r="K23" s="710"/>
      <c r="L23" s="666"/>
      <c r="M23" s="168"/>
      <c r="N23" s="169"/>
    </row>
    <row r="24" spans="1:14" ht="14.25" hidden="1" x14ac:dyDescent="0.2">
      <c r="A24" s="551"/>
      <c r="B24" s="711"/>
      <c r="C24" s="711"/>
      <c r="D24" s="711"/>
      <c r="E24" s="711"/>
      <c r="F24" s="712"/>
      <c r="G24" s="189"/>
      <c r="H24" s="189"/>
      <c r="I24" s="189"/>
      <c r="J24" s="666" t="e">
        <f t="shared" si="0"/>
        <v>#DIV/0!</v>
      </c>
      <c r="K24" s="710"/>
      <c r="L24" s="666"/>
      <c r="M24" s="168"/>
      <c r="N24" s="169"/>
    </row>
    <row r="25" spans="1:14" ht="14.25" hidden="1" x14ac:dyDescent="0.2">
      <c r="A25" s="551"/>
      <c r="B25" s="711"/>
      <c r="C25" s="711"/>
      <c r="D25" s="711"/>
      <c r="E25" s="711"/>
      <c r="F25" s="525"/>
      <c r="G25" s="207"/>
      <c r="H25" s="207"/>
      <c r="I25" s="207"/>
      <c r="J25" s="666" t="e">
        <f t="shared" si="0"/>
        <v>#DIV/0!</v>
      </c>
      <c r="K25" s="710"/>
      <c r="L25" s="666" t="e">
        <f>K25/H25</f>
        <v>#DIV/0!</v>
      </c>
      <c r="M25" s="517"/>
      <c r="N25" s="518"/>
    </row>
    <row r="26" spans="1:14" ht="15" x14ac:dyDescent="0.25">
      <c r="A26" s="556"/>
      <c r="B26" s="743"/>
      <c r="C26" s="743"/>
      <c r="D26" s="743"/>
      <c r="E26" s="744"/>
      <c r="F26" s="579" t="s">
        <v>465</v>
      </c>
      <c r="G26" s="580" t="e">
        <f>SUM(G20:G25)</f>
        <v>#REF!</v>
      </c>
      <c r="H26" s="580" t="e">
        <f>SUM(H20:H25)</f>
        <v>#REF!</v>
      </c>
      <c r="I26" s="580" t="e">
        <f>SUM(I20:I25)</f>
        <v>#REF!</v>
      </c>
      <c r="J26" s="596" t="e">
        <f t="shared" si="0"/>
        <v>#REF!</v>
      </c>
      <c r="K26" s="580" t="e">
        <f>SUM(K20:K25)</f>
        <v>#REF!</v>
      </c>
      <c r="L26" s="597" t="e">
        <f>K26/H26</f>
        <v>#REF!</v>
      </c>
      <c r="M26" s="654">
        <f>SUM(M22:M22)</f>
        <v>0</v>
      </c>
      <c r="N26" s="634"/>
    </row>
    <row r="27" spans="1:14" ht="15" hidden="1" x14ac:dyDescent="0.25">
      <c r="A27" s="641"/>
      <c r="B27" s="646"/>
      <c r="C27" s="646"/>
      <c r="D27" s="646"/>
      <c r="E27" s="646"/>
      <c r="F27" s="642"/>
      <c r="G27" s="647"/>
      <c r="H27" s="547"/>
      <c r="I27" s="547"/>
      <c r="J27" s="645" t="e">
        <f t="shared" ref="J27:J33" si="1">I27/H27</f>
        <v>#DIV/0!</v>
      </c>
      <c r="K27" s="644"/>
      <c r="L27" s="645" t="e">
        <f>K27/H27</f>
        <v>#DIV/0!</v>
      </c>
      <c r="M27" s="581"/>
      <c r="N27" s="634"/>
    </row>
    <row r="28" spans="1:14" ht="14.25" hidden="1" x14ac:dyDescent="0.2">
      <c r="A28" s="641"/>
      <c r="B28" s="646"/>
      <c r="C28" s="646"/>
      <c r="D28" s="646"/>
      <c r="E28" s="646"/>
      <c r="F28" s="642"/>
      <c r="G28" s="647"/>
      <c r="H28" s="647"/>
      <c r="I28" s="647"/>
      <c r="J28" s="645" t="e">
        <f t="shared" si="1"/>
        <v>#DIV/0!</v>
      </c>
      <c r="K28" s="643"/>
      <c r="L28" s="645" t="e">
        <f>K28/H28</f>
        <v>#DIV/0!</v>
      </c>
      <c r="M28" s="634"/>
      <c r="N28" s="634"/>
    </row>
    <row r="29" spans="1:14" ht="14.25" hidden="1" x14ac:dyDescent="0.2">
      <c r="A29" s="641"/>
      <c r="B29" s="646"/>
      <c r="C29" s="646"/>
      <c r="D29" s="646"/>
      <c r="E29" s="646"/>
      <c r="F29" s="642"/>
      <c r="G29" s="647"/>
      <c r="H29" s="647"/>
      <c r="I29" s="647"/>
      <c r="J29" s="645" t="e">
        <f t="shared" si="1"/>
        <v>#DIV/0!</v>
      </c>
      <c r="K29" s="643"/>
      <c r="L29" s="645"/>
      <c r="M29" s="634"/>
      <c r="N29" s="634"/>
    </row>
    <row r="30" spans="1:14" ht="14.25" hidden="1" x14ac:dyDescent="0.2">
      <c r="A30" s="593"/>
      <c r="B30" s="655"/>
      <c r="C30" s="655"/>
      <c r="D30" s="656"/>
      <c r="E30" s="656"/>
      <c r="F30" s="546"/>
      <c r="G30" s="547"/>
      <c r="H30" s="547"/>
      <c r="I30" s="547"/>
      <c r="J30" s="645" t="e">
        <f t="shared" si="1"/>
        <v>#DIV/0!</v>
      </c>
      <c r="K30" s="547"/>
      <c r="L30" s="645" t="e">
        <f>K30/H30</f>
        <v>#DIV/0!</v>
      </c>
      <c r="M30" s="565"/>
      <c r="N30" s="190"/>
    </row>
    <row r="31" spans="1:14" ht="14.25" hidden="1" x14ac:dyDescent="0.2">
      <c r="A31" s="641"/>
      <c r="B31" s="646"/>
      <c r="C31" s="646"/>
      <c r="D31" s="657"/>
      <c r="E31" s="657"/>
      <c r="F31" s="642"/>
      <c r="G31" s="647"/>
      <c r="H31" s="647"/>
      <c r="I31" s="647"/>
      <c r="J31" s="658" t="e">
        <f t="shared" si="1"/>
        <v>#DIV/0!</v>
      </c>
      <c r="K31" s="647"/>
      <c r="L31" s="658" t="e">
        <f>K31/H31</f>
        <v>#DIV/0!</v>
      </c>
      <c r="M31" s="565"/>
      <c r="N31" s="190"/>
    </row>
    <row r="32" spans="1:14" ht="14.25" hidden="1" x14ac:dyDescent="0.2">
      <c r="A32" s="648"/>
      <c r="B32" s="649"/>
      <c r="C32" s="649"/>
      <c r="D32" s="659"/>
      <c r="E32" s="659"/>
      <c r="F32" s="650"/>
      <c r="G32" s="651"/>
      <c r="H32" s="651"/>
      <c r="I32" s="660"/>
      <c r="J32" s="652" t="e">
        <f t="shared" si="1"/>
        <v>#DIV/0!</v>
      </c>
      <c r="K32" s="660"/>
      <c r="L32" s="652" t="e">
        <f>K32/H32</f>
        <v>#DIV/0!</v>
      </c>
      <c r="M32" s="565"/>
      <c r="N32" s="190"/>
    </row>
    <row r="33" spans="1:14" ht="15" hidden="1" x14ac:dyDescent="0.25">
      <c r="A33" s="537"/>
      <c r="B33" s="653"/>
      <c r="C33" s="653"/>
      <c r="D33" s="653"/>
      <c r="E33" s="653"/>
      <c r="F33" s="661" t="s">
        <v>474</v>
      </c>
      <c r="G33" s="662">
        <f>SUM(G30:G32)</f>
        <v>0</v>
      </c>
      <c r="H33" s="662">
        <f>SUM(H30:H32)</f>
        <v>0</v>
      </c>
      <c r="I33" s="662">
        <f>SUM(I30:I32)</f>
        <v>0</v>
      </c>
      <c r="J33" s="663" t="e">
        <f t="shared" si="1"/>
        <v>#DIV/0!</v>
      </c>
      <c r="K33" s="662">
        <f>SUM(K30:K32)</f>
        <v>0</v>
      </c>
      <c r="L33" s="664" t="e">
        <f>K33/H33</f>
        <v>#DIV/0!</v>
      </c>
      <c r="M33" s="654">
        <f>SUM(M30:M31)</f>
        <v>0</v>
      </c>
      <c r="N33" s="190"/>
    </row>
    <row r="34" spans="1:14" ht="15" x14ac:dyDescent="0.25">
      <c r="A34" s="720" t="s">
        <v>59</v>
      </c>
      <c r="B34" s="721">
        <v>3322</v>
      </c>
      <c r="C34" s="721">
        <v>5166</v>
      </c>
      <c r="D34" s="722">
        <v>5220</v>
      </c>
      <c r="E34" s="722"/>
      <c r="F34" s="723" t="s">
        <v>401</v>
      </c>
      <c r="G34" s="595" t="e">
        <f>SUM(#REF!)</f>
        <v>#REF!</v>
      </c>
      <c r="H34" s="595" t="e">
        <f>SUM(#REF!)</f>
        <v>#REF!</v>
      </c>
      <c r="I34" s="665" t="e">
        <f>SUM(#REF!)</f>
        <v>#REF!</v>
      </c>
      <c r="J34" s="667" t="e">
        <f t="shared" ref="J34:J63" si="2">I34/H34</f>
        <v>#REF!</v>
      </c>
      <c r="K34" s="585" t="e">
        <f>SUM(#REF!)</f>
        <v>#REF!</v>
      </c>
      <c r="L34" s="667" t="e">
        <f t="shared" ref="L34:L63" si="3">K34/H34</f>
        <v>#REF!</v>
      </c>
      <c r="M34" s="581"/>
      <c r="N34" s="169" t="s">
        <v>29</v>
      </c>
    </row>
    <row r="35" spans="1:14" ht="15" x14ac:dyDescent="0.25">
      <c r="A35" s="598"/>
      <c r="B35" s="599"/>
      <c r="C35" s="599"/>
      <c r="D35" s="600"/>
      <c r="E35" s="600"/>
      <c r="F35" s="591" t="s">
        <v>100</v>
      </c>
      <c r="G35" s="563" t="e">
        <f>SUM(G34)</f>
        <v>#REF!</v>
      </c>
      <c r="H35" s="563" t="e">
        <f>SUM(H34)</f>
        <v>#REF!</v>
      </c>
      <c r="I35" s="563" t="e">
        <f>SUM(I34)</f>
        <v>#REF!</v>
      </c>
      <c r="J35" s="666" t="e">
        <f t="shared" si="2"/>
        <v>#REF!</v>
      </c>
      <c r="K35" s="563" t="e">
        <f>SUM(K34)</f>
        <v>#REF!</v>
      </c>
      <c r="L35" s="667" t="e">
        <f t="shared" si="3"/>
        <v>#REF!</v>
      </c>
      <c r="M35" s="581"/>
      <c r="N35" s="594"/>
    </row>
    <row r="36" spans="1:14" ht="15" x14ac:dyDescent="0.25">
      <c r="A36" s="598" t="s">
        <v>59</v>
      </c>
      <c r="B36" s="599">
        <v>3322</v>
      </c>
      <c r="C36" s="599">
        <v>5137</v>
      </c>
      <c r="D36" s="600">
        <v>5214</v>
      </c>
      <c r="E36" s="600"/>
      <c r="F36" s="725" t="s">
        <v>273</v>
      </c>
      <c r="G36" s="707">
        <v>0</v>
      </c>
      <c r="H36" s="708" t="e">
        <f>SUM(#REF!)</f>
        <v>#REF!</v>
      </c>
      <c r="I36" s="668" t="e">
        <f>SUM(#REF!)</f>
        <v>#REF!</v>
      </c>
      <c r="J36" s="666" t="e">
        <f t="shared" si="2"/>
        <v>#REF!</v>
      </c>
      <c r="K36" s="738" t="e">
        <f>SUM(#REF!)</f>
        <v>#REF!</v>
      </c>
      <c r="L36" s="667" t="e">
        <f t="shared" si="3"/>
        <v>#REF!</v>
      </c>
      <c r="M36" s="581"/>
      <c r="N36" s="594"/>
    </row>
    <row r="37" spans="1:14" ht="15" x14ac:dyDescent="0.25">
      <c r="A37" s="598" t="s">
        <v>59</v>
      </c>
      <c r="B37" s="599">
        <v>3322</v>
      </c>
      <c r="C37" s="599">
        <v>5169</v>
      </c>
      <c r="D37" s="600">
        <v>5214</v>
      </c>
      <c r="E37" s="600"/>
      <c r="F37" s="725" t="s">
        <v>383</v>
      </c>
      <c r="G37" s="707" t="e">
        <f>SUM(#REF!)</f>
        <v>#REF!</v>
      </c>
      <c r="H37" s="708" t="e">
        <f>SUM(#REF!)</f>
        <v>#REF!</v>
      </c>
      <c r="I37" s="665" t="e">
        <f>SUM(#REF!)</f>
        <v>#REF!</v>
      </c>
      <c r="J37" s="666" t="e">
        <f t="shared" si="2"/>
        <v>#REF!</v>
      </c>
      <c r="K37" s="585" t="e">
        <f>SUM(#REF!)</f>
        <v>#REF!</v>
      </c>
      <c r="L37" s="667" t="e">
        <f t="shared" si="3"/>
        <v>#REF!</v>
      </c>
      <c r="M37" s="581"/>
      <c r="N37" s="169" t="s">
        <v>29</v>
      </c>
    </row>
    <row r="38" spans="1:14" ht="15.75" thickBot="1" x14ac:dyDescent="0.3">
      <c r="A38" s="598"/>
      <c r="B38" s="599"/>
      <c r="C38" s="599"/>
      <c r="D38" s="600"/>
      <c r="E38" s="600"/>
      <c r="F38" s="591" t="s">
        <v>101</v>
      </c>
      <c r="G38" s="563" t="e">
        <f>SUM(G36:G37)</f>
        <v>#REF!</v>
      </c>
      <c r="H38" s="563" t="e">
        <f>SUM(H36:H37)</f>
        <v>#REF!</v>
      </c>
      <c r="I38" s="563" t="e">
        <f>SUM(I36:I37)</f>
        <v>#REF!</v>
      </c>
      <c r="J38" s="666" t="e">
        <f t="shared" si="2"/>
        <v>#REF!</v>
      </c>
      <c r="K38" s="563" t="e">
        <f>SUM(K36:K37)</f>
        <v>#REF!</v>
      </c>
      <c r="L38" s="667" t="e">
        <f t="shared" si="3"/>
        <v>#REF!</v>
      </c>
      <c r="M38" s="581"/>
      <c r="N38" s="594"/>
    </row>
    <row r="39" spans="1:14" ht="15" x14ac:dyDescent="0.25">
      <c r="A39" s="598" t="s">
        <v>59</v>
      </c>
      <c r="B39" s="599">
        <v>3322</v>
      </c>
      <c r="C39" s="522">
        <v>5171</v>
      </c>
      <c r="D39" s="521">
        <v>5212</v>
      </c>
      <c r="E39" s="522" t="s">
        <v>167</v>
      </c>
      <c r="F39" s="601" t="s">
        <v>496</v>
      </c>
      <c r="G39" s="595" t="e">
        <f>SUM(#REF!)</f>
        <v>#REF!</v>
      </c>
      <c r="H39" s="668" t="e">
        <f>SUM(#REF!)</f>
        <v>#REF!</v>
      </c>
      <c r="I39" s="665" t="e">
        <f>SUM(#REF!)</f>
        <v>#REF!</v>
      </c>
      <c r="J39" s="666" t="e">
        <f t="shared" si="2"/>
        <v>#REF!</v>
      </c>
      <c r="K39" s="665" t="e">
        <f>SUM(#REF!)</f>
        <v>#REF!</v>
      </c>
      <c r="L39" s="667" t="e">
        <f t="shared" si="3"/>
        <v>#REF!</v>
      </c>
      <c r="M39" s="581"/>
      <c r="N39" s="169" t="s">
        <v>165</v>
      </c>
    </row>
    <row r="40" spans="1:14" ht="15" x14ac:dyDescent="0.25">
      <c r="A40" s="598" t="s">
        <v>59</v>
      </c>
      <c r="B40" s="599">
        <v>3322</v>
      </c>
      <c r="C40" s="522">
        <v>5171</v>
      </c>
      <c r="D40" s="521">
        <v>5213</v>
      </c>
      <c r="E40" s="522" t="s">
        <v>167</v>
      </c>
      <c r="F40" s="602" t="s">
        <v>497</v>
      </c>
      <c r="G40" s="595" t="e">
        <f>SUM(#REF!)</f>
        <v>#REF!</v>
      </c>
      <c r="H40" s="668" t="e">
        <f>SUM(#REF!)</f>
        <v>#REF!</v>
      </c>
      <c r="I40" s="665" t="e">
        <f>SUM(#REF!)</f>
        <v>#REF!</v>
      </c>
      <c r="J40" s="666" t="e">
        <f t="shared" si="2"/>
        <v>#REF!</v>
      </c>
      <c r="K40" s="665" t="e">
        <f>SUM(#REF!)</f>
        <v>#REF!</v>
      </c>
      <c r="L40" s="667" t="e">
        <f t="shared" si="3"/>
        <v>#REF!</v>
      </c>
      <c r="M40" s="581"/>
      <c r="N40" s="169"/>
    </row>
    <row r="41" spans="1:14" ht="15" x14ac:dyDescent="0.25">
      <c r="A41" s="598" t="s">
        <v>59</v>
      </c>
      <c r="B41" s="599">
        <v>3322</v>
      </c>
      <c r="C41" s="522">
        <v>5171</v>
      </c>
      <c r="D41" s="521">
        <v>520701</v>
      </c>
      <c r="E41" s="522" t="s">
        <v>167</v>
      </c>
      <c r="F41" s="602" t="s">
        <v>499</v>
      </c>
      <c r="G41" s="595" t="e">
        <f>SUM(#REF!)</f>
        <v>#REF!</v>
      </c>
      <c r="H41" s="668" t="e">
        <f>SUM(#REF!)</f>
        <v>#REF!</v>
      </c>
      <c r="I41" s="665" t="e">
        <f>SUM(#REF!)</f>
        <v>#REF!</v>
      </c>
      <c r="J41" s="666" t="e">
        <f t="shared" si="2"/>
        <v>#REF!</v>
      </c>
      <c r="K41" s="665" t="e">
        <f>SUM(#REF!)</f>
        <v>#REF!</v>
      </c>
      <c r="L41" s="667" t="e">
        <f t="shared" si="3"/>
        <v>#REF!</v>
      </c>
      <c r="M41" s="581"/>
      <c r="N41" s="169"/>
    </row>
    <row r="42" spans="1:14" ht="15" x14ac:dyDescent="0.25">
      <c r="A42" s="598" t="s">
        <v>59</v>
      </c>
      <c r="B42" s="599">
        <v>3322</v>
      </c>
      <c r="C42" s="522">
        <v>6121</v>
      </c>
      <c r="D42" s="521">
        <v>520702</v>
      </c>
      <c r="E42" s="522" t="s">
        <v>167</v>
      </c>
      <c r="F42" s="695" t="s">
        <v>188</v>
      </c>
      <c r="G42" s="707" t="e">
        <f>SUM(#REF!)</f>
        <v>#REF!</v>
      </c>
      <c r="H42" s="708" t="e">
        <f>SUM(#REF!)</f>
        <v>#REF!</v>
      </c>
      <c r="I42" s="665" t="e">
        <f>SUM(#REF!)</f>
        <v>#REF!</v>
      </c>
      <c r="J42" s="666" t="e">
        <f t="shared" si="2"/>
        <v>#REF!</v>
      </c>
      <c r="K42" s="665" t="e">
        <f>SUM(#REF!)</f>
        <v>#REF!</v>
      </c>
      <c r="L42" s="667" t="e">
        <f t="shared" si="3"/>
        <v>#REF!</v>
      </c>
      <c r="M42" s="581"/>
      <c r="N42" s="169"/>
    </row>
    <row r="43" spans="1:14" ht="15" x14ac:dyDescent="0.25">
      <c r="A43" s="598" t="s">
        <v>59</v>
      </c>
      <c r="B43" s="599">
        <v>3322</v>
      </c>
      <c r="C43" s="522">
        <v>5171</v>
      </c>
      <c r="D43" s="521">
        <v>520703</v>
      </c>
      <c r="E43" s="522" t="s">
        <v>167</v>
      </c>
      <c r="F43" s="695" t="s">
        <v>490</v>
      </c>
      <c r="G43" s="707" t="e">
        <f>SUM(#REF!)</f>
        <v>#REF!</v>
      </c>
      <c r="H43" s="708" t="e">
        <f>SUM(#REF!)</f>
        <v>#REF!</v>
      </c>
      <c r="I43" s="665" t="e">
        <f>SUM(#REF!)</f>
        <v>#REF!</v>
      </c>
      <c r="J43" s="666" t="e">
        <f t="shared" si="2"/>
        <v>#REF!</v>
      </c>
      <c r="K43" s="665" t="e">
        <f>SUM(#REF!)</f>
        <v>#REF!</v>
      </c>
      <c r="L43" s="667" t="e">
        <f t="shared" si="3"/>
        <v>#REF!</v>
      </c>
      <c r="M43" s="581"/>
      <c r="N43" s="169"/>
    </row>
    <row r="44" spans="1:14" ht="15.75" thickBot="1" x14ac:dyDescent="0.3">
      <c r="A44" s="598" t="s">
        <v>59</v>
      </c>
      <c r="B44" s="599">
        <v>3322</v>
      </c>
      <c r="C44" s="522">
        <v>5171</v>
      </c>
      <c r="D44" s="521">
        <v>520704</v>
      </c>
      <c r="E44" s="522" t="s">
        <v>167</v>
      </c>
      <c r="F44" s="604" t="s">
        <v>491</v>
      </c>
      <c r="G44" s="595" t="e">
        <f>SUM(#REF!)</f>
        <v>#REF!</v>
      </c>
      <c r="H44" s="668" t="e">
        <f>SUM(#REF!)</f>
        <v>#REF!</v>
      </c>
      <c r="I44" s="665" t="e">
        <f>SUM(#REF!)</f>
        <v>#REF!</v>
      </c>
      <c r="J44" s="666"/>
      <c r="K44" s="665" t="e">
        <f>SUM(#REF!)</f>
        <v>#REF!</v>
      </c>
      <c r="L44" s="667"/>
      <c r="M44" s="581"/>
      <c r="N44" s="169"/>
    </row>
    <row r="45" spans="1:14" ht="15" x14ac:dyDescent="0.25">
      <c r="A45" s="598" t="s">
        <v>59</v>
      </c>
      <c r="B45" s="599">
        <v>3322</v>
      </c>
      <c r="C45" s="522">
        <v>5171</v>
      </c>
      <c r="D45" s="521">
        <v>5202</v>
      </c>
      <c r="E45" s="522" t="s">
        <v>168</v>
      </c>
      <c r="F45" s="697" t="s">
        <v>384</v>
      </c>
      <c r="G45" s="707" t="e">
        <f>SUM(#REF!)</f>
        <v>#REF!</v>
      </c>
      <c r="H45" s="708" t="e">
        <f>SUM(#REF!)</f>
        <v>#REF!</v>
      </c>
      <c r="I45" s="665" t="e">
        <f>SUM(#REF!)</f>
        <v>#REF!</v>
      </c>
      <c r="J45" s="666" t="e">
        <f t="shared" si="2"/>
        <v>#REF!</v>
      </c>
      <c r="K45" s="665" t="e">
        <f>SUM(#REF!)</f>
        <v>#REF!</v>
      </c>
      <c r="L45" s="667" t="e">
        <f t="shared" si="3"/>
        <v>#REF!</v>
      </c>
      <c r="M45" s="581"/>
      <c r="N45" s="169" t="s">
        <v>29</v>
      </c>
    </row>
    <row r="46" spans="1:14" ht="15" x14ac:dyDescent="0.25">
      <c r="A46" s="598" t="s">
        <v>59</v>
      </c>
      <c r="B46" s="599">
        <v>3322</v>
      </c>
      <c r="C46" s="522">
        <v>5171</v>
      </c>
      <c r="D46" s="521">
        <v>3992</v>
      </c>
      <c r="E46" s="522" t="s">
        <v>168</v>
      </c>
      <c r="F46" s="695" t="s">
        <v>385</v>
      </c>
      <c r="G46" s="707" t="e">
        <f>SUM(#REF!)</f>
        <v>#REF!</v>
      </c>
      <c r="H46" s="708" t="e">
        <f>SUM(#REF!)</f>
        <v>#REF!</v>
      </c>
      <c r="I46" s="665" t="e">
        <f>SUM(#REF!)</f>
        <v>#REF!</v>
      </c>
      <c r="J46" s="666" t="e">
        <f t="shared" si="2"/>
        <v>#REF!</v>
      </c>
      <c r="K46" s="665" t="e">
        <f>SUM(#REF!)</f>
        <v>#REF!</v>
      </c>
      <c r="L46" s="667" t="e">
        <f t="shared" si="3"/>
        <v>#REF!</v>
      </c>
      <c r="M46" s="581"/>
      <c r="N46" s="169" t="s">
        <v>29</v>
      </c>
    </row>
    <row r="47" spans="1:14" ht="14.25" x14ac:dyDescent="0.2">
      <c r="A47" s="689" t="s">
        <v>59</v>
      </c>
      <c r="B47" s="690">
        <v>3322</v>
      </c>
      <c r="C47" s="519">
        <v>6121</v>
      </c>
      <c r="D47" s="520">
        <v>5206</v>
      </c>
      <c r="E47" s="519" t="s">
        <v>168</v>
      </c>
      <c r="F47" s="603" t="s">
        <v>386</v>
      </c>
      <c r="G47" s="592" t="e">
        <f>SUM(#REF!)</f>
        <v>#REF!</v>
      </c>
      <c r="H47" s="669" t="e">
        <f>SUM(#REF!)</f>
        <v>#REF!</v>
      </c>
      <c r="I47" s="740" t="e">
        <f>SUM(#REF!)</f>
        <v>#REF!</v>
      </c>
      <c r="J47" s="670"/>
      <c r="K47" s="740" t="e">
        <f>SUM(#REF!)</f>
        <v>#REF!</v>
      </c>
      <c r="L47" s="671"/>
      <c r="M47" s="672"/>
      <c r="N47" s="554" t="s">
        <v>29</v>
      </c>
    </row>
    <row r="48" spans="1:14" ht="15.75" thickBot="1" x14ac:dyDescent="0.3">
      <c r="A48" s="598" t="s">
        <v>59</v>
      </c>
      <c r="B48" s="599">
        <v>3322</v>
      </c>
      <c r="C48" s="522">
        <v>5171</v>
      </c>
      <c r="D48" s="521">
        <v>5205</v>
      </c>
      <c r="E48" s="522" t="s">
        <v>168</v>
      </c>
      <c r="F48" s="604" t="s">
        <v>387</v>
      </c>
      <c r="G48" s="595" t="e">
        <f>SUM(#REF!)</f>
        <v>#REF!</v>
      </c>
      <c r="H48" s="668" t="e">
        <f>SUM(#REF!)</f>
        <v>#REF!</v>
      </c>
      <c r="I48" s="665" t="e">
        <f>SUM(#REF!)</f>
        <v>#REF!</v>
      </c>
      <c r="J48" s="666"/>
      <c r="K48" s="665" t="e">
        <f>SUM(#REF!)</f>
        <v>#REF!</v>
      </c>
      <c r="L48" s="667"/>
      <c r="M48" s="581"/>
      <c r="N48" s="169" t="s">
        <v>29</v>
      </c>
    </row>
    <row r="49" spans="1:14" ht="14.25" x14ac:dyDescent="0.2">
      <c r="A49" s="689" t="s">
        <v>59</v>
      </c>
      <c r="B49" s="690">
        <v>3322</v>
      </c>
      <c r="C49" s="519">
        <v>6121</v>
      </c>
      <c r="D49" s="520">
        <v>5211</v>
      </c>
      <c r="E49" s="519" t="s">
        <v>169</v>
      </c>
      <c r="F49" s="605" t="s">
        <v>388</v>
      </c>
      <c r="G49" s="592" t="e">
        <f>SUM(#REF!)</f>
        <v>#REF!</v>
      </c>
      <c r="H49" s="669" t="e">
        <f>SUM(#REF!)</f>
        <v>#REF!</v>
      </c>
      <c r="I49" s="740" t="e">
        <f>SUM(#REF!)</f>
        <v>#REF!</v>
      </c>
      <c r="J49" s="670"/>
      <c r="K49" s="740" t="e">
        <f>SUM(#REF!)</f>
        <v>#REF!</v>
      </c>
      <c r="L49" s="671"/>
      <c r="M49" s="672"/>
      <c r="N49" s="554" t="s">
        <v>29</v>
      </c>
    </row>
    <row r="50" spans="1:14" ht="14.25" x14ac:dyDescent="0.2">
      <c r="A50" s="689" t="s">
        <v>59</v>
      </c>
      <c r="B50" s="690">
        <v>3322</v>
      </c>
      <c r="C50" s="519">
        <v>6121</v>
      </c>
      <c r="D50" s="520">
        <v>5209</v>
      </c>
      <c r="E50" s="519" t="s">
        <v>169</v>
      </c>
      <c r="F50" s="603" t="s">
        <v>389</v>
      </c>
      <c r="G50" s="592" t="e">
        <f>SUM(#REF!)</f>
        <v>#REF!</v>
      </c>
      <c r="H50" s="669" t="e">
        <f>SUM(#REF!)</f>
        <v>#REF!</v>
      </c>
      <c r="I50" s="740" t="e">
        <f>SUM(#REF!)</f>
        <v>#REF!</v>
      </c>
      <c r="J50" s="670"/>
      <c r="K50" s="740" t="e">
        <f>SUM(#REF!)</f>
        <v>#REF!</v>
      </c>
      <c r="L50" s="671"/>
      <c r="M50" s="672"/>
      <c r="N50" s="554" t="s">
        <v>29</v>
      </c>
    </row>
    <row r="51" spans="1:14" ht="15.75" thickBot="1" x14ac:dyDescent="0.3">
      <c r="A51" s="598" t="s">
        <v>59</v>
      </c>
      <c r="B51" s="599">
        <v>3322</v>
      </c>
      <c r="C51" s="522">
        <v>5171</v>
      </c>
      <c r="D51" s="521">
        <v>5217</v>
      </c>
      <c r="E51" s="522" t="s">
        <v>169</v>
      </c>
      <c r="F51" s="604" t="s">
        <v>369</v>
      </c>
      <c r="G51" s="595" t="e">
        <f>SUM(#REF!)</f>
        <v>#REF!</v>
      </c>
      <c r="H51" s="668" t="e">
        <f>SUM(#REF!)</f>
        <v>#REF!</v>
      </c>
      <c r="I51" s="741" t="e">
        <f>SUM(#REF!)</f>
        <v>#REF!</v>
      </c>
      <c r="J51" s="666"/>
      <c r="K51" s="741" t="e">
        <f>SUM(#REF!)</f>
        <v>#REF!</v>
      </c>
      <c r="L51" s="667"/>
      <c r="M51" s="581"/>
      <c r="N51" s="169" t="s">
        <v>29</v>
      </c>
    </row>
    <row r="52" spans="1:14" ht="15.75" thickBot="1" x14ac:dyDescent="0.3">
      <c r="A52" s="598" t="s">
        <v>59</v>
      </c>
      <c r="B52" s="599">
        <v>3322</v>
      </c>
      <c r="C52" s="522">
        <v>5171</v>
      </c>
      <c r="D52" s="521">
        <v>3923</v>
      </c>
      <c r="E52" s="522" t="s">
        <v>170</v>
      </c>
      <c r="F52" s="606" t="s">
        <v>370</v>
      </c>
      <c r="G52" s="595" t="e">
        <f>SUM(#REF!)</f>
        <v>#REF!</v>
      </c>
      <c r="H52" s="668" t="e">
        <f>SUM(#REF!)</f>
        <v>#REF!</v>
      </c>
      <c r="I52" s="665" t="e">
        <f>SUM(#REF!)</f>
        <v>#REF!</v>
      </c>
      <c r="J52" s="666"/>
      <c r="K52" s="665" t="e">
        <f>SUM(#REF!)</f>
        <v>#REF!</v>
      </c>
      <c r="L52" s="667"/>
      <c r="M52" s="581"/>
      <c r="N52" s="169" t="s">
        <v>166</v>
      </c>
    </row>
    <row r="53" spans="1:14" ht="14.25" x14ac:dyDescent="0.2">
      <c r="A53" s="598" t="s">
        <v>59</v>
      </c>
      <c r="B53" s="599">
        <v>3322</v>
      </c>
      <c r="C53" s="519">
        <v>6121</v>
      </c>
      <c r="D53" s="520">
        <v>5218</v>
      </c>
      <c r="E53" s="522" t="s">
        <v>171</v>
      </c>
      <c r="F53" s="605" t="s">
        <v>504</v>
      </c>
      <c r="G53" s="592" t="e">
        <f>SUM(#REF!)</f>
        <v>#REF!</v>
      </c>
      <c r="H53" s="669" t="e">
        <f>SUM(#REF!)</f>
        <v>#REF!</v>
      </c>
      <c r="I53" s="741" t="e">
        <f>SUM(#REF!)</f>
        <v>#REF!</v>
      </c>
      <c r="J53" s="666"/>
      <c r="K53" s="741" t="e">
        <f>SUM(#REF!)</f>
        <v>#REF!</v>
      </c>
      <c r="L53" s="667"/>
      <c r="M53" s="672"/>
      <c r="N53" s="554" t="s">
        <v>165</v>
      </c>
    </row>
    <row r="54" spans="1:14" ht="15" x14ac:dyDescent="0.25">
      <c r="A54" s="598" t="s">
        <v>59</v>
      </c>
      <c r="B54" s="599">
        <v>3322</v>
      </c>
      <c r="C54" s="522">
        <v>5171</v>
      </c>
      <c r="D54" s="521">
        <v>5214</v>
      </c>
      <c r="E54" s="522" t="s">
        <v>171</v>
      </c>
      <c r="F54" s="697" t="s">
        <v>147</v>
      </c>
      <c r="G54" s="707" t="e">
        <f>SUM(#REF!)</f>
        <v>#REF!</v>
      </c>
      <c r="H54" s="708" t="e">
        <f>SUM(#REF!)</f>
        <v>#REF!</v>
      </c>
      <c r="I54" s="665" t="e">
        <f>SUM(#REF!)</f>
        <v>#REF!</v>
      </c>
      <c r="J54" s="666" t="e">
        <f t="shared" si="2"/>
        <v>#REF!</v>
      </c>
      <c r="K54" s="665" t="e">
        <f>SUM(#REF!)</f>
        <v>#REF!</v>
      </c>
      <c r="L54" s="667" t="e">
        <f t="shared" si="3"/>
        <v>#REF!</v>
      </c>
      <c r="M54" s="581"/>
      <c r="N54" s="169"/>
    </row>
    <row r="55" spans="1:14" ht="15" x14ac:dyDescent="0.25">
      <c r="A55" s="598" t="s">
        <v>59</v>
      </c>
      <c r="B55" s="599">
        <v>3322</v>
      </c>
      <c r="C55" s="522">
        <v>5171</v>
      </c>
      <c r="D55" s="521">
        <v>5215</v>
      </c>
      <c r="E55" s="522" t="s">
        <v>171</v>
      </c>
      <c r="F55" s="695" t="s">
        <v>71</v>
      </c>
      <c r="G55" s="707" t="e">
        <f>SUM(#REF!)</f>
        <v>#REF!</v>
      </c>
      <c r="H55" s="708" t="e">
        <f>SUM(#REF!)</f>
        <v>#REF!</v>
      </c>
      <c r="I55" s="741" t="e">
        <f>SUM(#REF!)</f>
        <v>#REF!</v>
      </c>
      <c r="J55" s="666"/>
      <c r="K55" s="741" t="e">
        <f>SUM(#REF!)</f>
        <v>#REF!</v>
      </c>
      <c r="L55" s="667"/>
      <c r="M55" s="581"/>
      <c r="N55" s="169" t="s">
        <v>29</v>
      </c>
    </row>
    <row r="56" spans="1:14" ht="15" x14ac:dyDescent="0.25">
      <c r="A56" s="598" t="s">
        <v>59</v>
      </c>
      <c r="B56" s="599">
        <v>3322</v>
      </c>
      <c r="C56" s="522">
        <v>5171</v>
      </c>
      <c r="D56" s="521">
        <v>5206</v>
      </c>
      <c r="E56" s="522" t="s">
        <v>167</v>
      </c>
      <c r="F56" s="695" t="s">
        <v>279</v>
      </c>
      <c r="G56" s="707" t="e">
        <f>SUM(#REF!)</f>
        <v>#REF!</v>
      </c>
      <c r="H56" s="708" t="e">
        <f>SUM(#REF!)</f>
        <v>#REF!</v>
      </c>
      <c r="I56" s="665" t="e">
        <f>SUM(#REF!)</f>
        <v>#REF!</v>
      </c>
      <c r="J56" s="666" t="e">
        <f t="shared" si="2"/>
        <v>#REF!</v>
      </c>
      <c r="K56" s="665" t="e">
        <f>SUM(#REF!)</f>
        <v>#REF!</v>
      </c>
      <c r="L56" s="667" t="e">
        <f t="shared" si="3"/>
        <v>#REF!</v>
      </c>
      <c r="M56" s="581"/>
      <c r="N56" s="169"/>
    </row>
    <row r="57" spans="1:14" ht="14.25" x14ac:dyDescent="0.2">
      <c r="A57" s="689" t="s">
        <v>59</v>
      </c>
      <c r="B57" s="690">
        <v>3322</v>
      </c>
      <c r="C57" s="519">
        <v>6121</v>
      </c>
      <c r="D57" s="520">
        <v>5215</v>
      </c>
      <c r="E57" s="522" t="s">
        <v>167</v>
      </c>
      <c r="F57" s="603" t="s">
        <v>187</v>
      </c>
      <c r="G57" s="592" t="e">
        <f>SUM(#REF!)</f>
        <v>#REF!</v>
      </c>
      <c r="H57" s="669" t="e">
        <f>SUM(#REF!)</f>
        <v>#REF!</v>
      </c>
      <c r="I57" s="741" t="e">
        <f>SUM(#REF!)</f>
        <v>#REF!</v>
      </c>
      <c r="J57" s="666"/>
      <c r="K57" s="741" t="e">
        <f>SUM(#REF!)</f>
        <v>#REF!</v>
      </c>
      <c r="L57" s="667"/>
      <c r="M57" s="672"/>
      <c r="N57" s="554"/>
    </row>
    <row r="58" spans="1:14" ht="15" x14ac:dyDescent="0.25">
      <c r="A58" s="598" t="s">
        <v>59</v>
      </c>
      <c r="B58" s="599">
        <v>3322</v>
      </c>
      <c r="C58" s="522">
        <v>5171</v>
      </c>
      <c r="D58" s="521">
        <v>5219</v>
      </c>
      <c r="E58" s="522" t="s">
        <v>171</v>
      </c>
      <c r="F58" s="602" t="s">
        <v>189</v>
      </c>
      <c r="G58" s="595" t="e">
        <f>SUM(#REF!)</f>
        <v>#REF!</v>
      </c>
      <c r="H58" s="668" t="e">
        <f>SUM(#REF!)</f>
        <v>#REF!</v>
      </c>
      <c r="I58" s="665" t="e">
        <f>SUM(#REF!)</f>
        <v>#REF!</v>
      </c>
      <c r="J58" s="666"/>
      <c r="K58" s="665" t="e">
        <f>SUM(#REF!)</f>
        <v>#REF!</v>
      </c>
      <c r="L58" s="667"/>
      <c r="M58" s="581"/>
      <c r="N58" s="169" t="s">
        <v>29</v>
      </c>
    </row>
    <row r="59" spans="1:14" ht="14.25" x14ac:dyDescent="0.2">
      <c r="A59" s="598" t="s">
        <v>59</v>
      </c>
      <c r="B59" s="599">
        <v>3322</v>
      </c>
      <c r="C59" s="519">
        <v>6121</v>
      </c>
      <c r="D59" s="520">
        <v>520421</v>
      </c>
      <c r="E59" s="522" t="s">
        <v>171</v>
      </c>
      <c r="F59" s="694" t="s">
        <v>72</v>
      </c>
      <c r="G59" s="703" t="e">
        <f>SUM(#REF!)</f>
        <v>#REF!</v>
      </c>
      <c r="H59" s="709" t="e">
        <f>SUM(#REF!)</f>
        <v>#REF!</v>
      </c>
      <c r="I59" s="665" t="e">
        <f>SUM(#REF!)</f>
        <v>#REF!</v>
      </c>
      <c r="J59" s="666" t="e">
        <f t="shared" si="2"/>
        <v>#REF!</v>
      </c>
      <c r="K59" s="665" t="e">
        <f>SUM(#REF!)</f>
        <v>#REF!</v>
      </c>
      <c r="L59" s="667" t="e">
        <f t="shared" si="3"/>
        <v>#REF!</v>
      </c>
      <c r="M59" s="672"/>
      <c r="N59" s="554" t="s">
        <v>29</v>
      </c>
    </row>
    <row r="60" spans="1:14" ht="14.25" x14ac:dyDescent="0.2">
      <c r="A60" s="598" t="s">
        <v>59</v>
      </c>
      <c r="B60" s="599">
        <v>3322</v>
      </c>
      <c r="C60" s="519">
        <v>6121</v>
      </c>
      <c r="D60" s="520">
        <v>520411</v>
      </c>
      <c r="E60" s="522" t="s">
        <v>171</v>
      </c>
      <c r="F60" s="694" t="s">
        <v>73</v>
      </c>
      <c r="G60" s="703" t="e">
        <f>SUM(#REF!)</f>
        <v>#REF!</v>
      </c>
      <c r="H60" s="709" t="e">
        <f>SUM(#REF!)</f>
        <v>#REF!</v>
      </c>
      <c r="I60" s="665" t="e">
        <f>SUM(#REF!)</f>
        <v>#REF!</v>
      </c>
      <c r="J60" s="666" t="e">
        <f t="shared" si="2"/>
        <v>#REF!</v>
      </c>
      <c r="K60" s="665" t="e">
        <f>SUM(#REF!)</f>
        <v>#REF!</v>
      </c>
      <c r="L60" s="667" t="e">
        <f t="shared" si="3"/>
        <v>#REF!</v>
      </c>
      <c r="M60" s="672"/>
      <c r="N60" s="554" t="s">
        <v>29</v>
      </c>
    </row>
    <row r="61" spans="1:14" ht="15.75" thickBot="1" x14ac:dyDescent="0.3">
      <c r="A61" s="598" t="s">
        <v>59</v>
      </c>
      <c r="B61" s="599">
        <v>3322</v>
      </c>
      <c r="C61" s="522">
        <v>5169</v>
      </c>
      <c r="D61" s="521">
        <v>5221</v>
      </c>
      <c r="E61" s="522" t="s">
        <v>171</v>
      </c>
      <c r="F61" s="698" t="s">
        <v>200</v>
      </c>
      <c r="G61" s="707" t="e">
        <f>SUM(#REF!)</f>
        <v>#REF!</v>
      </c>
      <c r="H61" s="708" t="e">
        <f>SUM(#REF!)</f>
        <v>#REF!</v>
      </c>
      <c r="I61" s="665" t="e">
        <f>SUM(#REF!)</f>
        <v>#REF!</v>
      </c>
      <c r="J61" s="666" t="e">
        <f t="shared" si="2"/>
        <v>#REF!</v>
      </c>
      <c r="K61" s="665" t="e">
        <f>SUM(#REF!)</f>
        <v>#REF!</v>
      </c>
      <c r="L61" s="667" t="e">
        <f t="shared" si="3"/>
        <v>#REF!</v>
      </c>
      <c r="M61" s="581"/>
      <c r="N61" s="169" t="s">
        <v>29</v>
      </c>
    </row>
    <row r="62" spans="1:14" ht="15" x14ac:dyDescent="0.25">
      <c r="A62" s="598" t="s">
        <v>59</v>
      </c>
      <c r="B62" s="599">
        <v>3322</v>
      </c>
      <c r="C62" s="599"/>
      <c r="D62" s="600"/>
      <c r="E62" s="607"/>
      <c r="F62" s="673" t="s">
        <v>102</v>
      </c>
      <c r="G62" s="608" t="e">
        <f>SUM(G34,G37,G39:G61)</f>
        <v>#REF!</v>
      </c>
      <c r="H62" s="608" t="e">
        <f>SUM(H34,H37,H39:H61)</f>
        <v>#REF!</v>
      </c>
      <c r="I62" s="608" t="e">
        <f>SUM(I34,I37,I39:I61)</f>
        <v>#REF!</v>
      </c>
      <c r="J62" s="716" t="e">
        <f t="shared" si="2"/>
        <v>#REF!</v>
      </c>
      <c r="K62" s="608" t="e">
        <f>SUM(K34,K37,K39:K61)</f>
        <v>#REF!</v>
      </c>
      <c r="L62" s="717" t="e">
        <f t="shared" si="3"/>
        <v>#REF!</v>
      </c>
      <c r="M62" s="581"/>
      <c r="N62" s="594"/>
    </row>
    <row r="63" spans="1:14" ht="15" x14ac:dyDescent="0.25">
      <c r="A63" s="690" t="s">
        <v>341</v>
      </c>
      <c r="B63" s="690">
        <v>3639</v>
      </c>
      <c r="C63" s="690">
        <v>6121</v>
      </c>
      <c r="D63" s="524">
        <v>508421</v>
      </c>
      <c r="E63" s="719"/>
      <c r="F63" s="693" t="s">
        <v>300</v>
      </c>
      <c r="G63" s="683" t="e">
        <f>SUM(#REF!)</f>
        <v>#REF!</v>
      </c>
      <c r="H63" s="683" t="e">
        <f>SUM(#REF!)</f>
        <v>#REF!</v>
      </c>
      <c r="I63" s="207" t="e">
        <f>SUM(#REF!)</f>
        <v>#REF!</v>
      </c>
      <c r="J63" s="670" t="e">
        <f t="shared" si="2"/>
        <v>#REF!</v>
      </c>
      <c r="K63" s="189" t="e">
        <f>SUM(#REF!)</f>
        <v>#REF!</v>
      </c>
      <c r="L63" s="671" t="e">
        <f t="shared" si="3"/>
        <v>#REF!</v>
      </c>
      <c r="M63" s="581"/>
      <c r="N63" s="715"/>
    </row>
    <row r="64" spans="1:14" ht="15" x14ac:dyDescent="0.25">
      <c r="A64" s="537"/>
      <c r="B64" s="653"/>
      <c r="C64" s="653"/>
      <c r="D64" s="653"/>
      <c r="E64" s="653"/>
      <c r="F64" s="579" t="s">
        <v>320</v>
      </c>
      <c r="G64" s="580" t="e">
        <f>SUM(G39:G61,G63)</f>
        <v>#REF!</v>
      </c>
      <c r="H64" s="580" t="e">
        <f>SUM(H39:H61,H63)</f>
        <v>#REF!</v>
      </c>
      <c r="I64" s="580" t="e">
        <f>SUM(I39:I61,I63)</f>
        <v>#REF!</v>
      </c>
      <c r="J64" s="597" t="e">
        <f>I64/H64</f>
        <v>#REF!</v>
      </c>
      <c r="K64" s="580" t="e">
        <f>SUM(K39:K61,K63)</f>
        <v>#REF!</v>
      </c>
      <c r="L64" s="597" t="e">
        <f>K64/H64</f>
        <v>#REF!</v>
      </c>
      <c r="M64" s="581"/>
      <c r="N64" s="190"/>
    </row>
    <row r="65" spans="1:14" ht="15" hidden="1" x14ac:dyDescent="0.25">
      <c r="A65" s="537"/>
      <c r="B65" s="653"/>
      <c r="C65" s="653"/>
      <c r="D65" s="653"/>
      <c r="E65" s="653"/>
      <c r="F65" s="538"/>
      <c r="G65" s="581"/>
      <c r="H65" s="581"/>
      <c r="I65" s="581"/>
      <c r="J65" s="581"/>
      <c r="K65" s="581"/>
      <c r="L65" s="663"/>
      <c r="M65" s="581"/>
      <c r="N65" s="190"/>
    </row>
    <row r="66" spans="1:14" ht="15" hidden="1" x14ac:dyDescent="0.25">
      <c r="A66" s="582"/>
      <c r="B66" s="674"/>
      <c r="C66" s="674"/>
      <c r="D66" s="675"/>
      <c r="E66" s="675"/>
      <c r="F66" s="676"/>
      <c r="G66" s="585"/>
      <c r="H66" s="677"/>
      <c r="I66" s="677"/>
      <c r="J66" s="677"/>
      <c r="K66" s="677"/>
      <c r="L66" s="645" t="e">
        <f>K66/H66</f>
        <v>#DIV/0!</v>
      </c>
      <c r="M66" s="581"/>
      <c r="N66" s="190" t="s">
        <v>135</v>
      </c>
    </row>
    <row r="67" spans="1:14" ht="15" hidden="1" x14ac:dyDescent="0.25">
      <c r="A67" s="560"/>
      <c r="B67" s="561"/>
      <c r="C67" s="561"/>
      <c r="D67" s="561"/>
      <c r="E67" s="561"/>
      <c r="F67" s="579"/>
      <c r="G67" s="580">
        <f>SUM(G66)</f>
        <v>0</v>
      </c>
      <c r="H67" s="654">
        <f>SUM(H66)</f>
        <v>0</v>
      </c>
      <c r="I67" s="654"/>
      <c r="J67" s="654"/>
      <c r="K67" s="654">
        <f>SUM(K66)</f>
        <v>0</v>
      </c>
      <c r="L67" s="596" t="e">
        <f>K67/H67</f>
        <v>#DIV/0!</v>
      </c>
      <c r="M67" s="634"/>
      <c r="N67" s="190"/>
    </row>
    <row r="68" spans="1:14" ht="15" x14ac:dyDescent="0.25">
      <c r="A68" s="726" t="s">
        <v>303</v>
      </c>
      <c r="B68" s="726"/>
      <c r="C68" s="726"/>
      <c r="D68" s="726"/>
      <c r="E68" s="726"/>
      <c r="F68" s="728"/>
      <c r="G68" s="729" t="e">
        <f>SUM(G26,G35,G38,G64)</f>
        <v>#REF!</v>
      </c>
      <c r="H68" s="729" t="e">
        <f>SUM(H26,H35,H38,H64)</f>
        <v>#REF!</v>
      </c>
      <c r="I68" s="729" t="e">
        <f>SUM(I26,I35,I38,I64)</f>
        <v>#REF!</v>
      </c>
      <c r="J68" s="734" t="e">
        <f>I68/H68</f>
        <v>#REF!</v>
      </c>
      <c r="K68" s="729" t="e">
        <f>SUM(K26,K35,K38,K64)</f>
        <v>#REF!</v>
      </c>
      <c r="L68" s="734" t="e">
        <f>K68/H68</f>
        <v>#REF!</v>
      </c>
      <c r="M68" s="567">
        <f>SUM(M26,M33)</f>
        <v>0</v>
      </c>
      <c r="N68" s="190"/>
    </row>
    <row r="69" spans="1:14" ht="15" x14ac:dyDescent="0.25">
      <c r="A69" s="560"/>
      <c r="B69" s="566"/>
      <c r="C69" s="566"/>
      <c r="D69" s="566"/>
      <c r="E69" s="566"/>
      <c r="F69" s="569"/>
      <c r="G69" s="570"/>
      <c r="H69" s="190"/>
      <c r="I69" s="190"/>
      <c r="J69" s="190"/>
      <c r="K69" s="527"/>
      <c r="L69" s="190"/>
      <c r="M69" s="634"/>
      <c r="N69" s="190"/>
    </row>
    <row r="70" spans="1:14" ht="15" x14ac:dyDescent="0.25">
      <c r="A70" s="726" t="s">
        <v>76</v>
      </c>
      <c r="B70" s="731"/>
      <c r="C70" s="731"/>
      <c r="D70" s="731"/>
      <c r="E70" s="731"/>
      <c r="F70" s="731"/>
      <c r="G70" s="729" t="e">
        <f>G15-G68</f>
        <v>#REF!</v>
      </c>
      <c r="H70" s="729" t="e">
        <f>H15-H68</f>
        <v>#REF!</v>
      </c>
      <c r="I70" s="729" t="e">
        <f>I15-I68</f>
        <v>#REF!</v>
      </c>
      <c r="J70" s="729"/>
      <c r="K70" s="729"/>
      <c r="L70" s="734"/>
      <c r="M70" s="567">
        <f>M15-M68</f>
        <v>0</v>
      </c>
      <c r="N70" s="190"/>
    </row>
    <row r="71" spans="1:14" x14ac:dyDescent="0.2">
      <c r="A71" s="3"/>
      <c r="K71" s="101"/>
    </row>
    <row r="72" spans="1:14" hidden="1" x14ac:dyDescent="0.2">
      <c r="A72" s="102" t="s">
        <v>409</v>
      </c>
      <c r="B72"/>
      <c r="C72"/>
      <c r="D72"/>
      <c r="E72"/>
      <c r="G72"/>
      <c r="K72" s="101"/>
    </row>
    <row r="73" spans="1:14" hidden="1" x14ac:dyDescent="0.2">
      <c r="A73" s="102" t="s">
        <v>256</v>
      </c>
      <c r="B73"/>
      <c r="C73"/>
      <c r="D73"/>
      <c r="E73"/>
      <c r="G73" s="4">
        <v>66229</v>
      </c>
      <c r="K73" s="101"/>
    </row>
    <row r="74" spans="1:14" hidden="1" x14ac:dyDescent="0.2">
      <c r="A74" s="102" t="s">
        <v>257</v>
      </c>
      <c r="B74"/>
      <c r="C74"/>
      <c r="D74"/>
      <c r="E74"/>
      <c r="G74" s="4">
        <f>SUM('[1]PRP 2001-RO'!H15)</f>
        <v>903</v>
      </c>
      <c r="K74" s="101"/>
    </row>
    <row r="75" spans="1:14" hidden="1" x14ac:dyDescent="0.2">
      <c r="A75" s="102" t="s">
        <v>399</v>
      </c>
      <c r="B75"/>
      <c r="C75"/>
      <c r="D75"/>
      <c r="E75"/>
      <c r="G75" s="4">
        <f>SUM(G73:G74)</f>
        <v>67132</v>
      </c>
      <c r="K75" s="101"/>
    </row>
    <row r="76" spans="1:14" hidden="1" x14ac:dyDescent="0.2">
      <c r="A76" s="102" t="s">
        <v>46</v>
      </c>
      <c r="B76"/>
      <c r="C76"/>
      <c r="D76"/>
      <c r="E76"/>
      <c r="G76" s="4">
        <f>SUM('[1]PRP 2001-RO'!H49)</f>
        <v>38279</v>
      </c>
      <c r="K76" s="101"/>
    </row>
    <row r="77" spans="1:14" hidden="1" x14ac:dyDescent="0.2">
      <c r="A77" s="102"/>
      <c r="B77"/>
      <c r="C77"/>
      <c r="D77"/>
      <c r="E77"/>
      <c r="K77" s="101"/>
    </row>
    <row r="78" spans="1:14" hidden="1" x14ac:dyDescent="0.2">
      <c r="A78" s="102"/>
      <c r="B78"/>
      <c r="C78"/>
      <c r="D78"/>
      <c r="E78"/>
      <c r="K78" s="101"/>
    </row>
    <row r="79" spans="1:14" hidden="1" x14ac:dyDescent="0.2">
      <c r="A79" s="102" t="s">
        <v>501</v>
      </c>
      <c r="B79"/>
      <c r="C79"/>
      <c r="D79"/>
      <c r="E79"/>
      <c r="G79" s="103">
        <f>G75-G76</f>
        <v>28853</v>
      </c>
      <c r="K79" s="101"/>
    </row>
    <row r="80" spans="1:14" hidden="1" x14ac:dyDescent="0.2">
      <c r="A80" s="3"/>
      <c r="B80"/>
      <c r="C80"/>
      <c r="D80"/>
      <c r="E80"/>
      <c r="K80" s="101"/>
    </row>
    <row r="81" spans="1:11" hidden="1" x14ac:dyDescent="0.2">
      <c r="A81" s="102" t="s">
        <v>502</v>
      </c>
      <c r="B81"/>
      <c r="C81"/>
      <c r="D81"/>
      <c r="E81"/>
      <c r="G81" s="103">
        <f>SUM(G82:G83)</f>
        <v>4502</v>
      </c>
      <c r="K81" s="101"/>
    </row>
    <row r="82" spans="1:11" hidden="1" x14ac:dyDescent="0.2">
      <c r="A82" s="102" t="s">
        <v>410</v>
      </c>
      <c r="B82"/>
      <c r="C82"/>
      <c r="D82"/>
      <c r="E82"/>
      <c r="G82" s="4">
        <v>902</v>
      </c>
      <c r="K82" s="101"/>
    </row>
    <row r="83" spans="1:11" hidden="1" x14ac:dyDescent="0.2">
      <c r="A83" s="102" t="s">
        <v>278</v>
      </c>
      <c r="B83"/>
      <c r="C83"/>
      <c r="D83"/>
      <c r="E83"/>
      <c r="G83" s="4">
        <v>3600</v>
      </c>
      <c r="K83" s="101"/>
    </row>
    <row r="84" spans="1:11" hidden="1" x14ac:dyDescent="0.2">
      <c r="A84" s="102" t="s">
        <v>38</v>
      </c>
      <c r="B84"/>
      <c r="C84"/>
      <c r="D84"/>
      <c r="E84"/>
      <c r="G84" s="103">
        <f>G79+G81</f>
        <v>33355</v>
      </c>
      <c r="K84" s="101"/>
    </row>
    <row r="85" spans="1:11" hidden="1" x14ac:dyDescent="0.2">
      <c r="A85" s="3"/>
      <c r="B85"/>
      <c r="C85"/>
      <c r="D85"/>
      <c r="E85"/>
      <c r="K85" s="101"/>
    </row>
    <row r="86" spans="1:11" hidden="1" x14ac:dyDescent="0.2">
      <c r="A86" s="102" t="s">
        <v>214</v>
      </c>
      <c r="B86"/>
      <c r="C86"/>
      <c r="D86"/>
      <c r="E86"/>
      <c r="G86" s="103" t="e">
        <f>SUM(G87:G90)</f>
        <v>#REF!</v>
      </c>
      <c r="K86" s="101"/>
    </row>
    <row r="87" spans="1:11" hidden="1" x14ac:dyDescent="0.2">
      <c r="A87" s="102" t="s">
        <v>39</v>
      </c>
      <c r="B87"/>
      <c r="C87"/>
      <c r="D87"/>
      <c r="E87"/>
      <c r="G87" s="4" t="e">
        <f>SUM(#REF!,#REF!,#REF!,G22,G66)</f>
        <v>#REF!</v>
      </c>
      <c r="K87" s="101"/>
    </row>
    <row r="88" spans="1:11" hidden="1" x14ac:dyDescent="0.2">
      <c r="A88" s="102" t="s">
        <v>290</v>
      </c>
      <c r="B88"/>
      <c r="C88"/>
      <c r="D88"/>
      <c r="E88"/>
      <c r="G88" s="4">
        <f>SUM(G30)</f>
        <v>0</v>
      </c>
      <c r="K88" s="101"/>
    </row>
    <row r="89" spans="1:11" hidden="1" x14ac:dyDescent="0.2">
      <c r="A89" s="102" t="s">
        <v>245</v>
      </c>
      <c r="B89"/>
      <c r="C89"/>
      <c r="D89"/>
      <c r="E89"/>
      <c r="G89" s="4">
        <f>SUM(G31)</f>
        <v>0</v>
      </c>
      <c r="K89" s="101"/>
    </row>
    <row r="90" spans="1:11" hidden="1" x14ac:dyDescent="0.2">
      <c r="A90" s="102" t="s">
        <v>219</v>
      </c>
      <c r="B90"/>
      <c r="C90"/>
      <c r="D90"/>
      <c r="E90"/>
      <c r="G90" s="4" t="e">
        <f>SUM(#REF!)</f>
        <v>#REF!</v>
      </c>
      <c r="K90" s="101"/>
    </row>
    <row r="91" spans="1:11" hidden="1" x14ac:dyDescent="0.2">
      <c r="A91" s="3"/>
      <c r="B91"/>
      <c r="C91"/>
      <c r="D91"/>
      <c r="E91"/>
      <c r="K91" s="101"/>
    </row>
    <row r="92" spans="1:11" hidden="1" x14ac:dyDescent="0.2">
      <c r="A92" s="102" t="s">
        <v>133</v>
      </c>
      <c r="B92"/>
      <c r="C92"/>
      <c r="D92"/>
      <c r="E92"/>
      <c r="G92" s="103" t="e">
        <f>G84-G86</f>
        <v>#REF!</v>
      </c>
      <c r="K92" s="101"/>
    </row>
    <row r="93" spans="1:11" x14ac:dyDescent="0.2">
      <c r="A93" s="3"/>
      <c r="B93"/>
      <c r="C93"/>
      <c r="D93"/>
      <c r="E93"/>
      <c r="K93" s="101"/>
    </row>
    <row r="94" spans="1:11" x14ac:dyDescent="0.2">
      <c r="A94" s="3"/>
      <c r="B94"/>
      <c r="C94"/>
      <c r="D94"/>
      <c r="E94"/>
      <c r="F94" s="104"/>
      <c r="I94" s="104" t="s">
        <v>134</v>
      </c>
      <c r="K94" s="101"/>
    </row>
    <row r="95" spans="1:11" x14ac:dyDescent="0.2">
      <c r="A95" s="3"/>
      <c r="B95"/>
      <c r="C95"/>
      <c r="D95"/>
      <c r="E95"/>
      <c r="F95" s="104"/>
      <c r="I95" s="104" t="s">
        <v>57</v>
      </c>
      <c r="K95" s="101"/>
    </row>
    <row r="96" spans="1:11" x14ac:dyDescent="0.2">
      <c r="A96" s="3"/>
      <c r="B96"/>
      <c r="C96"/>
      <c r="D96"/>
      <c r="E96"/>
      <c r="K96" s="101"/>
    </row>
    <row r="97" spans="1:11" x14ac:dyDescent="0.2">
      <c r="A97" s="3"/>
      <c r="B97"/>
      <c r="C97"/>
      <c r="D97"/>
      <c r="E97"/>
      <c r="K97" s="101"/>
    </row>
    <row r="98" spans="1:11" x14ac:dyDescent="0.2">
      <c r="A98" s="3"/>
      <c r="B98"/>
      <c r="C98"/>
      <c r="D98"/>
      <c r="E98"/>
      <c r="K98" s="101"/>
    </row>
    <row r="99" spans="1:11" x14ac:dyDescent="0.2">
      <c r="A99" s="3"/>
      <c r="B99"/>
      <c r="C99"/>
      <c r="D99"/>
      <c r="E99"/>
      <c r="K99" s="101"/>
    </row>
    <row r="100" spans="1:11" x14ac:dyDescent="0.2">
      <c r="A100" s="3"/>
      <c r="B100"/>
      <c r="C100"/>
      <c r="D100"/>
      <c r="E100"/>
      <c r="K100" s="101"/>
    </row>
    <row r="101" spans="1:11" x14ac:dyDescent="0.2">
      <c r="A101" s="3"/>
      <c r="B101"/>
      <c r="C101"/>
      <c r="D101"/>
      <c r="E101"/>
      <c r="K101" s="101"/>
    </row>
    <row r="102" spans="1:11" x14ac:dyDescent="0.2">
      <c r="A102" s="3"/>
      <c r="B102"/>
      <c r="C102"/>
      <c r="D102"/>
      <c r="E102"/>
      <c r="K102" s="101"/>
    </row>
    <row r="103" spans="1:11" x14ac:dyDescent="0.2">
      <c r="A103" s="3"/>
      <c r="B103"/>
      <c r="C103"/>
      <c r="D103"/>
      <c r="E103"/>
      <c r="K103" s="101"/>
    </row>
    <row r="104" spans="1:11" x14ac:dyDescent="0.2">
      <c r="A104" s="3"/>
      <c r="B104"/>
      <c r="C104"/>
      <c r="D104"/>
      <c r="E104"/>
      <c r="K104" s="101"/>
    </row>
    <row r="105" spans="1:11" x14ac:dyDescent="0.2">
      <c r="A105" s="3"/>
      <c r="B105"/>
      <c r="C105"/>
      <c r="D105"/>
      <c r="E105"/>
      <c r="K105" s="101"/>
    </row>
    <row r="106" spans="1:11" x14ac:dyDescent="0.2">
      <c r="A106" s="3"/>
      <c r="B106"/>
      <c r="C106"/>
      <c r="D106"/>
      <c r="E106"/>
      <c r="G106"/>
      <c r="K106" s="101"/>
    </row>
    <row r="107" spans="1:11" x14ac:dyDescent="0.2">
      <c r="A107" s="3"/>
      <c r="B107"/>
      <c r="C107"/>
      <c r="D107"/>
      <c r="E107"/>
      <c r="G107"/>
      <c r="K107" s="101"/>
    </row>
    <row r="108" spans="1:11" x14ac:dyDescent="0.2">
      <c r="A108" s="3"/>
      <c r="B108"/>
      <c r="C108"/>
      <c r="D108"/>
      <c r="E108"/>
      <c r="G108"/>
      <c r="K108" s="101"/>
    </row>
    <row r="109" spans="1:11" x14ac:dyDescent="0.2">
      <c r="A109" s="3"/>
      <c r="B109"/>
      <c r="C109"/>
      <c r="D109"/>
      <c r="E109"/>
      <c r="G109"/>
      <c r="K109" s="101"/>
    </row>
    <row r="110" spans="1:11" x14ac:dyDescent="0.2">
      <c r="A110" s="3"/>
      <c r="B110"/>
      <c r="C110"/>
      <c r="D110"/>
      <c r="E110"/>
      <c r="G110"/>
      <c r="K110" s="101"/>
    </row>
    <row r="111" spans="1:11" x14ac:dyDescent="0.2">
      <c r="A111" s="3"/>
      <c r="B111"/>
      <c r="C111"/>
      <c r="D111"/>
      <c r="E111"/>
      <c r="G111"/>
      <c r="K111" s="101"/>
    </row>
    <row r="112" spans="1:11" x14ac:dyDescent="0.2">
      <c r="A112" s="3"/>
      <c r="B112"/>
      <c r="C112"/>
      <c r="D112"/>
      <c r="E112"/>
      <c r="G112"/>
      <c r="K112" s="101"/>
    </row>
    <row r="113" spans="1:11" x14ac:dyDescent="0.2">
      <c r="A113" s="3"/>
      <c r="B113"/>
      <c r="C113"/>
      <c r="D113"/>
      <c r="E113"/>
      <c r="G113"/>
      <c r="K113" s="101"/>
    </row>
    <row r="114" spans="1:11" x14ac:dyDescent="0.2">
      <c r="A114" s="3"/>
      <c r="B114"/>
      <c r="C114"/>
      <c r="D114"/>
      <c r="E114"/>
      <c r="G114"/>
      <c r="K114" s="101"/>
    </row>
    <row r="115" spans="1:11" x14ac:dyDescent="0.2">
      <c r="A115" s="3"/>
      <c r="B115"/>
      <c r="C115"/>
      <c r="D115"/>
      <c r="E115"/>
      <c r="G115"/>
      <c r="K115" s="101"/>
    </row>
    <row r="116" spans="1:11" x14ac:dyDescent="0.2">
      <c r="A116" s="3"/>
      <c r="B116"/>
      <c r="C116"/>
      <c r="D116"/>
      <c r="E116"/>
      <c r="G116"/>
      <c r="K116" s="101"/>
    </row>
    <row r="117" spans="1:11" x14ac:dyDescent="0.2">
      <c r="A117" s="3"/>
      <c r="K117" s="101"/>
    </row>
    <row r="118" spans="1:11" x14ac:dyDescent="0.2">
      <c r="A118" s="3"/>
      <c r="K118" s="101"/>
    </row>
    <row r="119" spans="1:11" x14ac:dyDescent="0.2">
      <c r="A119" s="3"/>
      <c r="K119" s="101"/>
    </row>
    <row r="120" spans="1:11" x14ac:dyDescent="0.2">
      <c r="A120" s="3"/>
      <c r="K120" s="101"/>
    </row>
    <row r="121" spans="1:11" x14ac:dyDescent="0.2">
      <c r="A121" s="3"/>
      <c r="K121" s="101"/>
    </row>
    <row r="122" spans="1:11" x14ac:dyDescent="0.2">
      <c r="A122" s="3"/>
      <c r="K122" s="101"/>
    </row>
    <row r="123" spans="1:11" x14ac:dyDescent="0.2">
      <c r="A123" s="3"/>
      <c r="K123" s="101"/>
    </row>
    <row r="124" spans="1:11" x14ac:dyDescent="0.2">
      <c r="A124" s="3"/>
      <c r="K124" s="101"/>
    </row>
    <row r="125" spans="1:11" x14ac:dyDescent="0.2">
      <c r="A125" s="3"/>
      <c r="K125" s="101"/>
    </row>
    <row r="126" spans="1:11" x14ac:dyDescent="0.2">
      <c r="A126" s="3"/>
      <c r="K126" s="101"/>
    </row>
    <row r="127" spans="1:11" x14ac:dyDescent="0.2">
      <c r="A127" s="3"/>
      <c r="K127" s="101"/>
    </row>
    <row r="128" spans="1:11" x14ac:dyDescent="0.2">
      <c r="A128" s="3"/>
      <c r="K128" s="101"/>
    </row>
    <row r="129" spans="1:1" x14ac:dyDescent="0.2">
      <c r="A129" s="3"/>
    </row>
    <row r="130" spans="1:1" x14ac:dyDescent="0.2">
      <c r="A130" s="3"/>
    </row>
    <row r="131" spans="1:1" x14ac:dyDescent="0.2">
      <c r="A131" s="3"/>
    </row>
    <row r="132" spans="1:1" x14ac:dyDescent="0.2">
      <c r="A132" s="3"/>
    </row>
    <row r="133" spans="1:1" x14ac:dyDescent="0.2">
      <c r="A133" s="3"/>
    </row>
    <row r="134" spans="1:1" x14ac:dyDescent="0.2">
      <c r="A134" s="3"/>
    </row>
    <row r="135" spans="1:1" x14ac:dyDescent="0.2">
      <c r="A135" s="3"/>
    </row>
    <row r="136" spans="1:1" x14ac:dyDescent="0.2">
      <c r="A136" s="3"/>
    </row>
    <row r="137" spans="1:1" x14ac:dyDescent="0.2">
      <c r="A137" s="3"/>
    </row>
    <row r="138" spans="1:1" x14ac:dyDescent="0.2">
      <c r="A138" s="3"/>
    </row>
    <row r="139" spans="1:1" x14ac:dyDescent="0.2">
      <c r="A139" s="3"/>
    </row>
    <row r="140" spans="1:1" x14ac:dyDescent="0.2">
      <c r="A140" s="3"/>
    </row>
    <row r="141" spans="1:1" x14ac:dyDescent="0.2">
      <c r="A141" s="3"/>
    </row>
    <row r="142" spans="1:1" x14ac:dyDescent="0.2">
      <c r="A142" s="3"/>
    </row>
    <row r="143" spans="1:1" x14ac:dyDescent="0.2">
      <c r="A143" s="3"/>
    </row>
    <row r="144" spans="1:1" x14ac:dyDescent="0.2">
      <c r="A144" s="3"/>
    </row>
    <row r="145" spans="1:1" x14ac:dyDescent="0.2">
      <c r="A145" s="3"/>
    </row>
    <row r="146" spans="1:1" x14ac:dyDescent="0.2">
      <c r="A146" s="3"/>
    </row>
    <row r="147" spans="1:1" x14ac:dyDescent="0.2">
      <c r="A147" s="3"/>
    </row>
    <row r="148" spans="1:1" x14ac:dyDescent="0.2">
      <c r="A148" s="3"/>
    </row>
    <row r="149" spans="1:1" x14ac:dyDescent="0.2">
      <c r="A149" s="3"/>
    </row>
    <row r="150" spans="1:1" x14ac:dyDescent="0.2">
      <c r="A150" s="3"/>
    </row>
    <row r="151" spans="1:1" x14ac:dyDescent="0.2">
      <c r="A151" s="3"/>
    </row>
    <row r="152" spans="1:1" x14ac:dyDescent="0.2">
      <c r="A152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55" orientation="landscape" horizontalDpi="4294967292" r:id="rId1"/>
  <headerFooter alignWithMargins="0">
    <oddHeader xml:space="preserve">&amp;L&amp;"Times New Roman,Obyčejné"&amp;12Město Ostrov&amp;RM: 3 b  
</oddHeader>
    <oddFooter xml:space="preserve">&amp;L&amp;9FB 2006
&amp;C&amp;P&amp;R&amp;9Zpracoval:  OF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62"/>
  <sheetViews>
    <sheetView zoomScale="75" workbookViewId="0">
      <selection activeCell="E32" sqref="E32"/>
    </sheetView>
  </sheetViews>
  <sheetFormatPr defaultRowHeight="12.75" x14ac:dyDescent="0.2"/>
  <cols>
    <col min="1" max="1" width="7.7109375" customWidth="1"/>
    <col min="2" max="3" width="5.85546875" customWidth="1"/>
    <col min="4" max="4" width="6.28515625" customWidth="1"/>
    <col min="5" max="5" width="123.42578125" customWidth="1"/>
    <col min="6" max="6" width="12.42578125" bestFit="1" customWidth="1"/>
    <col min="7" max="7" width="9.28515625" customWidth="1"/>
    <col min="9" max="9" width="9.7109375" customWidth="1"/>
    <col min="10" max="10" width="11.140625" customWidth="1"/>
    <col min="11" max="11" width="10" customWidth="1"/>
    <col min="12" max="12" width="9" customWidth="1"/>
  </cols>
  <sheetData>
    <row r="1" spans="1:12" ht="18" x14ac:dyDescent="0.25">
      <c r="A1" s="397"/>
      <c r="B1" s="397"/>
      <c r="C1" s="397"/>
      <c r="D1" s="397"/>
      <c r="E1" s="398" t="s">
        <v>142</v>
      </c>
      <c r="F1" s="397"/>
      <c r="G1" s="220"/>
      <c r="H1" s="220"/>
      <c r="I1" s="220"/>
      <c r="J1" s="220"/>
      <c r="K1" s="220"/>
      <c r="L1" s="220"/>
    </row>
    <row r="2" spans="1:12" ht="18.75" x14ac:dyDescent="0.3">
      <c r="A2" s="399"/>
      <c r="B2" s="397"/>
      <c r="C2" s="397"/>
      <c r="D2" s="397"/>
      <c r="E2" s="400" t="s">
        <v>90</v>
      </c>
      <c r="F2" s="397"/>
      <c r="G2" s="220"/>
      <c r="H2" s="220"/>
      <c r="I2" s="220"/>
      <c r="J2" s="220"/>
      <c r="K2" s="220"/>
      <c r="L2" s="220"/>
    </row>
    <row r="3" spans="1:12" ht="15.75" x14ac:dyDescent="0.25">
      <c r="A3" s="401"/>
      <c r="B3" s="401"/>
      <c r="C3" s="401"/>
      <c r="D3" s="401"/>
      <c r="E3" s="688" t="s">
        <v>192</v>
      </c>
      <c r="F3" s="401"/>
      <c r="G3" s="482"/>
      <c r="H3" s="402"/>
      <c r="I3" s="220"/>
      <c r="J3" s="220"/>
      <c r="K3" s="220"/>
      <c r="L3" s="220"/>
    </row>
    <row r="4" spans="1:12" ht="15.75" x14ac:dyDescent="0.25">
      <c r="B4" s="62"/>
      <c r="C4" s="62"/>
      <c r="D4" s="62"/>
      <c r="E4" s="2"/>
      <c r="F4" s="254" t="s">
        <v>205</v>
      </c>
      <c r="G4" s="179" t="s">
        <v>202</v>
      </c>
      <c r="H4" s="403" t="s">
        <v>21</v>
      </c>
      <c r="I4" s="404" t="s">
        <v>379</v>
      </c>
      <c r="J4" s="105"/>
      <c r="K4" s="105"/>
    </row>
    <row r="5" spans="1:12" ht="15" x14ac:dyDescent="0.25">
      <c r="A5" s="197" t="s">
        <v>3</v>
      </c>
      <c r="B5" s="179" t="s">
        <v>4</v>
      </c>
      <c r="C5" s="179" t="s">
        <v>5</v>
      </c>
      <c r="D5" s="179" t="s">
        <v>6</v>
      </c>
      <c r="E5" s="179" t="s">
        <v>52</v>
      </c>
      <c r="F5" s="200" t="s">
        <v>53</v>
      </c>
      <c r="G5" s="200" t="s">
        <v>53</v>
      </c>
      <c r="H5" s="405" t="s">
        <v>53</v>
      </c>
      <c r="I5" s="406" t="s">
        <v>74</v>
      </c>
      <c r="J5" s="115"/>
      <c r="K5" s="69"/>
      <c r="L5" s="179" t="s">
        <v>164</v>
      </c>
    </row>
    <row r="6" spans="1:12" x14ac:dyDescent="0.2">
      <c r="A6" s="69"/>
      <c r="B6" s="67"/>
      <c r="C6" s="67"/>
      <c r="D6" s="67"/>
      <c r="E6" s="67"/>
      <c r="F6" s="208"/>
      <c r="G6" s="419"/>
      <c r="H6" s="3"/>
      <c r="I6" s="414"/>
      <c r="J6" s="3"/>
    </row>
    <row r="7" spans="1:12" ht="15" x14ac:dyDescent="0.25">
      <c r="A7" s="171" t="s">
        <v>265</v>
      </c>
      <c r="B7" s="172">
        <v>0</v>
      </c>
      <c r="C7" s="172">
        <v>8115</v>
      </c>
      <c r="D7" s="687"/>
      <c r="E7" s="705" t="s">
        <v>91</v>
      </c>
      <c r="F7" s="178" t="e">
        <f>SUM(Žádost!#REF!)</f>
        <v>#REF!</v>
      </c>
      <c r="G7" s="178" t="e">
        <f>SUM(Žádost!#REF!)</f>
        <v>#REF!</v>
      </c>
      <c r="H7" s="248" t="e">
        <f>SUM(Žádost!#REF!)</f>
        <v>#REF!</v>
      </c>
      <c r="I7" s="249"/>
      <c r="J7" s="72"/>
      <c r="K7" s="72"/>
    </row>
    <row r="8" spans="1:12" hidden="1" x14ac:dyDescent="0.2">
      <c r="A8" s="3"/>
      <c r="B8" s="70"/>
      <c r="C8" s="70"/>
      <c r="D8" s="116"/>
      <c r="E8" s="118"/>
      <c r="F8" s="480"/>
      <c r="G8" s="481"/>
      <c r="H8" s="117"/>
      <c r="I8" s="412"/>
      <c r="J8" s="72"/>
      <c r="K8" s="72"/>
    </row>
    <row r="9" spans="1:12" hidden="1" x14ac:dyDescent="0.2">
      <c r="A9" s="3"/>
      <c r="B9" s="70"/>
      <c r="C9" s="70"/>
      <c r="D9" s="70"/>
      <c r="E9" s="118"/>
      <c r="F9" s="415"/>
      <c r="G9" s="34"/>
      <c r="H9" s="52"/>
      <c r="I9" s="412"/>
      <c r="J9" s="72"/>
      <c r="K9" s="72"/>
    </row>
    <row r="10" spans="1:12" hidden="1" x14ac:dyDescent="0.2">
      <c r="A10" s="3"/>
      <c r="B10" s="70"/>
      <c r="C10" s="70"/>
      <c r="D10" s="70"/>
      <c r="E10" s="56"/>
      <c r="F10" s="415"/>
      <c r="G10" s="34"/>
      <c r="H10" s="52"/>
      <c r="I10" s="412"/>
      <c r="J10" s="72"/>
      <c r="K10" s="72"/>
    </row>
    <row r="11" spans="1:12" hidden="1" x14ac:dyDescent="0.2">
      <c r="A11" s="3"/>
      <c r="B11" s="70"/>
      <c r="C11" s="70"/>
      <c r="D11" s="70"/>
      <c r="E11" s="56"/>
      <c r="F11" s="415"/>
      <c r="G11" s="34"/>
      <c r="H11" s="52"/>
      <c r="I11" s="412"/>
      <c r="J11" s="72"/>
      <c r="K11" s="72"/>
    </row>
    <row r="12" spans="1:12" hidden="1" x14ac:dyDescent="0.2">
      <c r="A12" s="69"/>
      <c r="B12" s="78"/>
      <c r="C12" s="78"/>
      <c r="D12" s="108"/>
      <c r="E12" s="40"/>
      <c r="F12" s="415"/>
      <c r="G12" s="35"/>
      <c r="H12" s="4"/>
      <c r="I12" s="412"/>
      <c r="J12" s="72"/>
      <c r="K12" s="72"/>
    </row>
    <row r="13" spans="1:12" hidden="1" x14ac:dyDescent="0.2">
      <c r="A13" s="80"/>
      <c r="B13" s="81"/>
      <c r="C13" s="81"/>
      <c r="D13" s="91"/>
      <c r="E13" s="107"/>
      <c r="F13" s="196"/>
      <c r="G13" s="50"/>
      <c r="H13" s="4"/>
      <c r="I13" s="413"/>
      <c r="J13" s="72"/>
      <c r="K13" s="72"/>
    </row>
    <row r="14" spans="1:12" ht="15" hidden="1" x14ac:dyDescent="0.25">
      <c r="A14" s="69"/>
      <c r="B14" s="108"/>
      <c r="C14" s="108"/>
      <c r="D14" s="108"/>
      <c r="E14" s="193" t="s">
        <v>403</v>
      </c>
      <c r="F14" s="194" t="e">
        <f>SUM(F7:F13)</f>
        <v>#REF!</v>
      </c>
      <c r="G14" s="194" t="e">
        <f>SUM(G7:G13)</f>
        <v>#REF!</v>
      </c>
      <c r="H14" s="194" t="e">
        <f>SUM(H7:H13)</f>
        <v>#REF!</v>
      </c>
      <c r="I14" s="247"/>
      <c r="J14" s="84"/>
      <c r="K14" s="84"/>
    </row>
    <row r="15" spans="1:12" hidden="1" x14ac:dyDescent="0.2">
      <c r="A15" s="69"/>
      <c r="B15" s="108"/>
      <c r="C15" s="108"/>
      <c r="D15" s="108"/>
      <c r="E15" s="110"/>
      <c r="F15" s="94"/>
      <c r="G15" s="94"/>
      <c r="H15" s="94"/>
      <c r="I15" s="84"/>
      <c r="J15" s="84"/>
      <c r="K15" s="84"/>
    </row>
    <row r="16" spans="1:12" hidden="1" x14ac:dyDescent="0.2">
      <c r="A16" s="69"/>
      <c r="B16" s="78"/>
      <c r="C16" s="78"/>
      <c r="D16" s="108"/>
      <c r="E16" s="119"/>
      <c r="F16" s="39"/>
      <c r="G16" s="39"/>
      <c r="H16" s="39"/>
      <c r="I16" s="111"/>
      <c r="J16" s="111"/>
      <c r="K16" s="111"/>
    </row>
    <row r="17" spans="1:12" hidden="1" x14ac:dyDescent="0.2">
      <c r="A17" s="76"/>
      <c r="B17" s="77"/>
      <c r="C17" s="77"/>
      <c r="D17" s="120"/>
      <c r="E17" s="56"/>
      <c r="F17" s="48"/>
      <c r="G17" s="48"/>
      <c r="H17" s="48"/>
      <c r="I17" s="84"/>
      <c r="J17" s="84"/>
      <c r="K17" s="84"/>
    </row>
    <row r="18" spans="1:12" hidden="1" x14ac:dyDescent="0.2">
      <c r="A18" s="76"/>
      <c r="B18" s="77"/>
      <c r="C18" s="77"/>
      <c r="D18" s="120"/>
      <c r="E18" s="56"/>
      <c r="F18" s="48"/>
      <c r="G18" s="48"/>
      <c r="H18" s="48"/>
      <c r="I18" s="84"/>
      <c r="J18" s="84"/>
      <c r="K18" s="84"/>
    </row>
    <row r="19" spans="1:12" hidden="1" x14ac:dyDescent="0.2">
      <c r="A19" s="96"/>
      <c r="B19" s="97"/>
      <c r="C19" s="97"/>
      <c r="D19" s="114"/>
      <c r="E19" s="56"/>
      <c r="F19" s="48"/>
      <c r="G19" s="48"/>
      <c r="H19" s="48"/>
      <c r="I19" s="84"/>
      <c r="J19" s="84"/>
      <c r="K19" s="84"/>
    </row>
    <row r="20" spans="1:12" hidden="1" x14ac:dyDescent="0.2">
      <c r="A20" s="3"/>
      <c r="B20" s="86"/>
      <c r="C20" s="86"/>
      <c r="D20" s="86"/>
      <c r="E20" s="82" t="s">
        <v>105</v>
      </c>
      <c r="F20" s="93">
        <f>SUM(F16:F17)</f>
        <v>0</v>
      </c>
      <c r="G20" s="93">
        <f>SUM(G16:G17)</f>
        <v>0</v>
      </c>
      <c r="H20" s="93">
        <f>SUM(H16:H17)</f>
        <v>0</v>
      </c>
      <c r="I20" s="83" t="e">
        <f>H20/G20</f>
        <v>#DIV/0!</v>
      </c>
      <c r="J20" s="84"/>
      <c r="K20" s="84"/>
    </row>
    <row r="21" spans="1:12" hidden="1" x14ac:dyDescent="0.2">
      <c r="A21" s="3"/>
      <c r="B21" s="86"/>
      <c r="C21" s="86"/>
      <c r="D21" s="86"/>
      <c r="F21" s="71"/>
    </row>
    <row r="22" spans="1:12" ht="15" x14ac:dyDescent="0.25">
      <c r="A22" s="733" t="s">
        <v>92</v>
      </c>
      <c r="B22" s="733"/>
      <c r="C22" s="733"/>
      <c r="D22" s="733"/>
      <c r="E22" s="735"/>
      <c r="F22" s="477" t="e">
        <f>SUM(F14,F20)</f>
        <v>#REF!</v>
      </c>
      <c r="G22" s="477" t="e">
        <f>SUM(G14,G20)</f>
        <v>#REF!</v>
      </c>
      <c r="H22" s="477" t="e">
        <f>SUM(H14,H20)</f>
        <v>#REF!</v>
      </c>
      <c r="I22" s="730"/>
      <c r="J22" s="89"/>
      <c r="K22" s="89"/>
    </row>
    <row r="23" spans="1:12" x14ac:dyDescent="0.2">
      <c r="A23" s="113" t="s">
        <v>176</v>
      </c>
      <c r="B23" s="62"/>
      <c r="C23" s="62"/>
      <c r="D23" s="62"/>
      <c r="E23" s="51"/>
      <c r="F23" s="75" t="e">
        <f>F22-F7</f>
        <v>#REF!</v>
      </c>
      <c r="G23" s="4" t="e">
        <f>G22-G14</f>
        <v>#REF!</v>
      </c>
    </row>
    <row r="24" spans="1:12" x14ac:dyDescent="0.2">
      <c r="B24" s="100"/>
      <c r="C24" s="100"/>
      <c r="D24" s="100"/>
      <c r="F24" s="88"/>
    </row>
    <row r="25" spans="1:12" x14ac:dyDescent="0.2">
      <c r="A25" s="3"/>
      <c r="B25" s="100"/>
      <c r="C25" s="100"/>
      <c r="D25" s="100"/>
      <c r="F25" s="4"/>
      <c r="H25" s="403" t="s">
        <v>152</v>
      </c>
      <c r="I25" s="404" t="s">
        <v>379</v>
      </c>
      <c r="J25" s="407" t="s">
        <v>355</v>
      </c>
      <c r="K25" s="408" t="s">
        <v>318</v>
      </c>
    </row>
    <row r="26" spans="1:12" ht="15" x14ac:dyDescent="0.25">
      <c r="A26" s="179" t="s">
        <v>3</v>
      </c>
      <c r="B26" s="179" t="s">
        <v>4</v>
      </c>
      <c r="C26" s="179" t="s">
        <v>5</v>
      </c>
      <c r="D26" s="198" t="s">
        <v>6</v>
      </c>
      <c r="E26" s="179" t="s">
        <v>356</v>
      </c>
      <c r="F26" s="200" t="s">
        <v>53</v>
      </c>
      <c r="G26" s="535" t="s">
        <v>53</v>
      </c>
      <c r="H26" s="405" t="s">
        <v>53</v>
      </c>
      <c r="I26" s="405" t="s">
        <v>74</v>
      </c>
      <c r="J26" s="405" t="s">
        <v>53</v>
      </c>
      <c r="K26" s="405" t="s">
        <v>74</v>
      </c>
    </row>
    <row r="27" spans="1:12" ht="15" x14ac:dyDescent="0.25">
      <c r="A27" s="183" t="s">
        <v>7</v>
      </c>
      <c r="B27" s="550">
        <v>3619</v>
      </c>
      <c r="C27" s="550">
        <v>5171</v>
      </c>
      <c r="D27" s="163">
        <v>1029</v>
      </c>
      <c r="E27" s="180" t="s">
        <v>75</v>
      </c>
      <c r="F27" s="573" t="e">
        <f>SUM(#REF!)</f>
        <v>#REF!</v>
      </c>
      <c r="G27" s="165" t="e">
        <f>SUM(#REF!)</f>
        <v>#REF!</v>
      </c>
      <c r="H27" s="682" t="e">
        <f>SUM(#REF!)</f>
        <v>#REF!</v>
      </c>
      <c r="I27" s="528" t="e">
        <f t="shared" ref="I27:I33" si="0">H27/G27</f>
        <v>#REF!</v>
      </c>
      <c r="J27" s="682" t="e">
        <f>SUM(#REF!)</f>
        <v>#REF!</v>
      </c>
      <c r="K27" s="528" t="e">
        <f t="shared" ref="K27:K33" si="1">J27/G27</f>
        <v>#REF!</v>
      </c>
      <c r="L27" s="268"/>
    </row>
    <row r="28" spans="1:12" ht="15" x14ac:dyDescent="0.25">
      <c r="A28" s="183" t="s">
        <v>7</v>
      </c>
      <c r="B28" s="550">
        <v>3619</v>
      </c>
      <c r="C28" s="550">
        <v>5171</v>
      </c>
      <c r="D28" s="163">
        <v>1329</v>
      </c>
      <c r="E28" s="180" t="s">
        <v>58</v>
      </c>
      <c r="F28" s="573" t="e">
        <f>SUM(#REF!)</f>
        <v>#REF!</v>
      </c>
      <c r="G28" s="165" t="e">
        <f>SUM(#REF!)</f>
        <v>#REF!</v>
      </c>
      <c r="H28" s="682" t="e">
        <f>SUM(#REF!)</f>
        <v>#REF!</v>
      </c>
      <c r="I28" s="528" t="e">
        <f t="shared" si="0"/>
        <v>#REF!</v>
      </c>
      <c r="J28" s="682" t="e">
        <f>SUM(#REF!)</f>
        <v>#REF!</v>
      </c>
      <c r="K28" s="528" t="e">
        <f t="shared" si="1"/>
        <v>#REF!</v>
      </c>
      <c r="L28" s="268"/>
    </row>
    <row r="29" spans="1:12" ht="15" x14ac:dyDescent="0.25">
      <c r="A29" s="183" t="s">
        <v>7</v>
      </c>
      <c r="B29" s="550">
        <v>3619</v>
      </c>
      <c r="C29" s="550">
        <v>5171</v>
      </c>
      <c r="D29" s="163">
        <v>1347</v>
      </c>
      <c r="E29" s="180" t="s">
        <v>484</v>
      </c>
      <c r="F29" s="573" t="e">
        <f>SUM(#REF!)</f>
        <v>#REF!</v>
      </c>
      <c r="G29" s="165" t="e">
        <f>SUM(#REF!)</f>
        <v>#REF!</v>
      </c>
      <c r="H29" s="682" t="e">
        <f>SUM(#REF!)</f>
        <v>#REF!</v>
      </c>
      <c r="I29" s="528" t="e">
        <f t="shared" si="0"/>
        <v>#REF!</v>
      </c>
      <c r="J29" s="682" t="e">
        <f>SUM(#REF!)</f>
        <v>#REF!</v>
      </c>
      <c r="K29" s="528" t="e">
        <f t="shared" si="1"/>
        <v>#REF!</v>
      </c>
      <c r="L29" s="268"/>
    </row>
    <row r="30" spans="1:12" ht="15" x14ac:dyDescent="0.25">
      <c r="A30" s="183" t="s">
        <v>7</v>
      </c>
      <c r="B30" s="550">
        <v>3619</v>
      </c>
      <c r="C30" s="550">
        <v>5171</v>
      </c>
      <c r="D30" s="163">
        <v>1353</v>
      </c>
      <c r="E30" s="180" t="s">
        <v>239</v>
      </c>
      <c r="F30" s="573" t="e">
        <f>SUM(#REF!)</f>
        <v>#REF!</v>
      </c>
      <c r="G30" s="165" t="e">
        <f>SUM(#REF!)</f>
        <v>#REF!</v>
      </c>
      <c r="H30" s="682" t="e">
        <f>SUM(#REF!)</f>
        <v>#REF!</v>
      </c>
      <c r="I30" s="528" t="e">
        <f t="shared" si="0"/>
        <v>#REF!</v>
      </c>
      <c r="J30" s="682" t="e">
        <f>SUM(#REF!)</f>
        <v>#REF!</v>
      </c>
      <c r="K30" s="528" t="e">
        <f t="shared" si="1"/>
        <v>#REF!</v>
      </c>
      <c r="L30" s="268"/>
    </row>
    <row r="31" spans="1:12" ht="15" x14ac:dyDescent="0.25">
      <c r="A31" s="183" t="s">
        <v>7</v>
      </c>
      <c r="B31" s="550">
        <v>3619</v>
      </c>
      <c r="C31" s="550">
        <v>5171</v>
      </c>
      <c r="D31" s="163">
        <v>859</v>
      </c>
      <c r="E31" s="180" t="s">
        <v>240</v>
      </c>
      <c r="F31" s="573" t="e">
        <f>SUM(#REF!)</f>
        <v>#REF!</v>
      </c>
      <c r="G31" s="165" t="e">
        <f>SUM(#REF!)</f>
        <v>#REF!</v>
      </c>
      <c r="H31" s="682" t="e">
        <f>SUM(#REF!)</f>
        <v>#REF!</v>
      </c>
      <c r="I31" s="528" t="e">
        <f t="shared" si="0"/>
        <v>#REF!</v>
      </c>
      <c r="J31" s="682" t="e">
        <f>SUM(#REF!)</f>
        <v>#REF!</v>
      </c>
      <c r="K31" s="528" t="e">
        <f t="shared" si="1"/>
        <v>#REF!</v>
      </c>
      <c r="L31" s="268"/>
    </row>
    <row r="32" spans="1:12" ht="15.75" x14ac:dyDescent="0.25">
      <c r="A32" s="183" t="s">
        <v>321</v>
      </c>
      <c r="B32" s="550">
        <v>6310</v>
      </c>
      <c r="C32" s="550">
        <v>5629</v>
      </c>
      <c r="D32" s="163"/>
      <c r="E32" s="739" t="s">
        <v>194</v>
      </c>
      <c r="F32" s="742" t="e">
        <f>SUM(#REF!)</f>
        <v>#REF!</v>
      </c>
      <c r="G32" s="708" t="e">
        <f>SUM(#REF!)</f>
        <v>#REF!</v>
      </c>
      <c r="H32" s="682" t="e">
        <f>SUM(#REF!)</f>
        <v>#REF!</v>
      </c>
      <c r="I32" s="528" t="e">
        <f t="shared" si="0"/>
        <v>#REF!</v>
      </c>
      <c r="J32" s="682" t="e">
        <f>SUM(#REF!)</f>
        <v>#REF!</v>
      </c>
      <c r="K32" s="528" t="e">
        <f t="shared" si="1"/>
        <v>#REF!</v>
      </c>
      <c r="L32" s="268"/>
    </row>
    <row r="33" spans="1:12" ht="15" x14ac:dyDescent="0.25">
      <c r="A33" s="69"/>
      <c r="B33" s="108"/>
      <c r="C33" s="108"/>
      <c r="D33" s="108"/>
      <c r="E33" s="192" t="s">
        <v>380</v>
      </c>
      <c r="F33" s="580" t="e">
        <f>SUM(F27:F32)</f>
        <v>#REF!</v>
      </c>
      <c r="G33" s="580" t="e">
        <f>SUM(G27:G32)</f>
        <v>#REF!</v>
      </c>
      <c r="H33" s="580" t="e">
        <f>SUM(H27:H32)</f>
        <v>#REF!</v>
      </c>
      <c r="I33" s="596" t="e">
        <f t="shared" si="0"/>
        <v>#REF!</v>
      </c>
      <c r="J33" s="580" t="e">
        <f>SUM(J27:J32)</f>
        <v>#REF!</v>
      </c>
      <c r="K33" s="596" t="e">
        <f t="shared" si="1"/>
        <v>#REF!</v>
      </c>
      <c r="L33" s="5"/>
    </row>
    <row r="34" spans="1:12" x14ac:dyDescent="0.2">
      <c r="A34" s="3"/>
      <c r="B34" s="98"/>
      <c r="C34" s="98"/>
      <c r="D34" s="98"/>
      <c r="F34" s="79"/>
      <c r="H34" s="99"/>
    </row>
    <row r="35" spans="1:12" ht="15" x14ac:dyDescent="0.25">
      <c r="A35" s="733" t="s">
        <v>177</v>
      </c>
      <c r="B35" s="733"/>
      <c r="C35" s="733"/>
      <c r="D35" s="733"/>
      <c r="E35" s="735"/>
      <c r="F35" s="477" t="e">
        <f>SUM(F33)</f>
        <v>#REF!</v>
      </c>
      <c r="G35" s="477" t="e">
        <f>SUM(G33)</f>
        <v>#REF!</v>
      </c>
      <c r="H35" s="477" t="e">
        <f>SUM(H33)</f>
        <v>#REF!</v>
      </c>
      <c r="I35" s="416" t="e">
        <f>H35/G35</f>
        <v>#REF!</v>
      </c>
      <c r="J35" s="477" t="e">
        <f>SUM(J33)</f>
        <v>#REF!</v>
      </c>
      <c r="K35" s="416" t="e">
        <f>J35/G35</f>
        <v>#REF!</v>
      </c>
    </row>
    <row r="36" spans="1:12" ht="15" x14ac:dyDescent="0.25">
      <c r="A36" s="10"/>
      <c r="B36" s="160"/>
      <c r="C36" s="160"/>
      <c r="D36" s="160"/>
      <c r="E36" s="51"/>
      <c r="F36" s="88"/>
      <c r="H36" s="99"/>
    </row>
    <row r="37" spans="1:12" ht="15" x14ac:dyDescent="0.25">
      <c r="A37" s="733" t="s">
        <v>182</v>
      </c>
      <c r="B37" s="736"/>
      <c r="C37" s="736"/>
      <c r="D37" s="736"/>
      <c r="E37" s="737"/>
      <c r="F37" s="477" t="e">
        <f>F22-F35</f>
        <v>#REF!</v>
      </c>
      <c r="G37" s="477" t="e">
        <f>G22-G35</f>
        <v>#REF!</v>
      </c>
      <c r="H37" s="477" t="e">
        <f>H22-H35</f>
        <v>#REF!</v>
      </c>
      <c r="I37" s="730"/>
      <c r="J37" s="477"/>
      <c r="K37" s="730"/>
    </row>
    <row r="38" spans="1:12" x14ac:dyDescent="0.2">
      <c r="A38" s="3"/>
      <c r="B38" s="100"/>
      <c r="C38" s="100"/>
      <c r="D38" s="100"/>
      <c r="F38" s="4"/>
      <c r="H38" s="101"/>
    </row>
    <row r="39" spans="1:12" hidden="1" x14ac:dyDescent="0.2">
      <c r="A39" s="102" t="s">
        <v>409</v>
      </c>
      <c r="H39" s="101"/>
    </row>
    <row r="40" spans="1:12" hidden="1" x14ac:dyDescent="0.2">
      <c r="A40" s="102" t="s">
        <v>256</v>
      </c>
      <c r="F40" s="4">
        <v>66229</v>
      </c>
      <c r="H40" s="101"/>
    </row>
    <row r="41" spans="1:12" hidden="1" x14ac:dyDescent="0.2">
      <c r="A41" s="102" t="s">
        <v>257</v>
      </c>
      <c r="F41" s="4">
        <f>SUM('[1]PRP 2001-RO'!H15)</f>
        <v>903</v>
      </c>
      <c r="H41" s="101"/>
    </row>
    <row r="42" spans="1:12" hidden="1" x14ac:dyDescent="0.2">
      <c r="A42" s="102" t="s">
        <v>399</v>
      </c>
      <c r="F42" s="4">
        <f>SUM(F40:F41)</f>
        <v>67132</v>
      </c>
      <c r="H42" s="101"/>
    </row>
    <row r="43" spans="1:12" hidden="1" x14ac:dyDescent="0.2">
      <c r="A43" s="102" t="s">
        <v>46</v>
      </c>
      <c r="F43" s="4">
        <f>SUM('[1]PRP 2001-RO'!H49)</f>
        <v>38279</v>
      </c>
      <c r="H43" s="101"/>
    </row>
    <row r="44" spans="1:12" hidden="1" x14ac:dyDescent="0.2">
      <c r="A44" s="102"/>
      <c r="F44" s="4"/>
      <c r="H44" s="101"/>
    </row>
    <row r="45" spans="1:12" hidden="1" x14ac:dyDescent="0.2">
      <c r="A45" s="102"/>
      <c r="F45" s="4"/>
      <c r="H45" s="101"/>
    </row>
    <row r="46" spans="1:12" hidden="1" x14ac:dyDescent="0.2">
      <c r="A46" s="102" t="s">
        <v>501</v>
      </c>
      <c r="F46" s="103">
        <f>F42-F43</f>
        <v>28853</v>
      </c>
      <c r="H46" s="101"/>
    </row>
    <row r="47" spans="1:12" hidden="1" x14ac:dyDescent="0.2">
      <c r="A47" s="3"/>
      <c r="F47" s="4"/>
      <c r="H47" s="101"/>
    </row>
    <row r="48" spans="1:12" hidden="1" x14ac:dyDescent="0.2">
      <c r="A48" s="102" t="s">
        <v>502</v>
      </c>
      <c r="F48" s="103">
        <f>SUM(F49:F50)</f>
        <v>4502</v>
      </c>
      <c r="H48" s="101"/>
    </row>
    <row r="49" spans="1:8" hidden="1" x14ac:dyDescent="0.2">
      <c r="A49" s="102" t="s">
        <v>410</v>
      </c>
      <c r="F49" s="4">
        <v>902</v>
      </c>
      <c r="H49" s="101"/>
    </row>
    <row r="50" spans="1:8" hidden="1" x14ac:dyDescent="0.2">
      <c r="A50" s="102" t="s">
        <v>278</v>
      </c>
      <c r="F50" s="4">
        <v>3600</v>
      </c>
      <c r="H50" s="101"/>
    </row>
    <row r="51" spans="1:8" hidden="1" x14ac:dyDescent="0.2">
      <c r="A51" s="102" t="s">
        <v>38</v>
      </c>
      <c r="F51" s="103">
        <f>F46+F48</f>
        <v>33355</v>
      </c>
      <c r="H51" s="101"/>
    </row>
    <row r="52" spans="1:8" hidden="1" x14ac:dyDescent="0.2">
      <c r="A52" s="3"/>
      <c r="F52" s="4"/>
      <c r="H52" s="101"/>
    </row>
    <row r="53" spans="1:8" hidden="1" x14ac:dyDescent="0.2">
      <c r="A53" s="102" t="s">
        <v>214</v>
      </c>
      <c r="F53" s="103" t="e">
        <f>SUM(F54:F57)</f>
        <v>#REF!</v>
      </c>
      <c r="H53" s="101"/>
    </row>
    <row r="54" spans="1:8" hidden="1" x14ac:dyDescent="0.2">
      <c r="A54" s="102" t="s">
        <v>39</v>
      </c>
      <c r="F54" s="4" t="e">
        <f>SUM(#REF!,#REF!,#REF!,F28,#REF!)</f>
        <v>#REF!</v>
      </c>
      <c r="H54" s="101"/>
    </row>
    <row r="55" spans="1:8" hidden="1" x14ac:dyDescent="0.2">
      <c r="A55" s="102" t="s">
        <v>290</v>
      </c>
      <c r="F55" s="4" t="e">
        <f>SUM(#REF!)</f>
        <v>#REF!</v>
      </c>
      <c r="H55" s="101"/>
    </row>
    <row r="56" spans="1:8" hidden="1" x14ac:dyDescent="0.2">
      <c r="A56" s="102" t="s">
        <v>245</v>
      </c>
      <c r="F56" s="4" t="e">
        <f>SUM(#REF!)</f>
        <v>#REF!</v>
      </c>
      <c r="H56" s="101"/>
    </row>
    <row r="57" spans="1:8" hidden="1" x14ac:dyDescent="0.2">
      <c r="A57" s="102" t="s">
        <v>219</v>
      </c>
      <c r="F57" s="4" t="e">
        <f>SUM(#REF!)</f>
        <v>#REF!</v>
      </c>
      <c r="H57" s="101"/>
    </row>
    <row r="58" spans="1:8" hidden="1" x14ac:dyDescent="0.2">
      <c r="A58" s="3"/>
      <c r="F58" s="4"/>
      <c r="H58" s="101"/>
    </row>
    <row r="59" spans="1:8" hidden="1" x14ac:dyDescent="0.2">
      <c r="A59" s="102" t="s">
        <v>133</v>
      </c>
      <c r="F59" s="103" t="e">
        <f>F51-F53</f>
        <v>#REF!</v>
      </c>
      <c r="H59" s="101"/>
    </row>
    <row r="60" spans="1:8" hidden="1" x14ac:dyDescent="0.2">
      <c r="A60" s="102" t="s">
        <v>431</v>
      </c>
      <c r="F60" s="4"/>
      <c r="G60" s="103"/>
      <c r="H60" s="101"/>
    </row>
    <row r="61" spans="1:8" hidden="1" x14ac:dyDescent="0.2">
      <c r="A61" t="s">
        <v>432</v>
      </c>
      <c r="G61" s="103" t="e">
        <f>G14</f>
        <v>#REF!</v>
      </c>
    </row>
    <row r="62" spans="1:8" hidden="1" x14ac:dyDescent="0.2">
      <c r="A62" t="s">
        <v>433</v>
      </c>
      <c r="G62" s="103" t="e">
        <f>G60-G61</f>
        <v>#REF!</v>
      </c>
    </row>
  </sheetData>
  <phoneticPr fontId="0" type="noConversion"/>
  <printOptions headings="1" gridLines="1"/>
  <pageMargins left="0.78740157499999996" right="0.78740157499999996" top="0.984251969" bottom="0.984251969" header="0.4921259845" footer="0.4921259845"/>
  <pageSetup paperSize="9" scale="60" orientation="landscape" r:id="rId1"/>
  <headerFooter alignWithMargins="0">
    <oddHeader xml:space="preserve">&amp;LMěsto Ostrov
&amp;RM: 3 b  </oddHeader>
    <oddFooter>&amp;LÚZ 5 - v roce 2006&amp;C&amp;P&amp;RZpracoval: OF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N58"/>
  <sheetViews>
    <sheetView zoomScale="75" workbookViewId="0">
      <selection activeCell="G31" sqref="G31"/>
    </sheetView>
  </sheetViews>
  <sheetFormatPr defaultRowHeight="12.75" x14ac:dyDescent="0.2"/>
  <cols>
    <col min="6" max="6" width="113.5703125" bestFit="1" customWidth="1"/>
    <col min="10" max="10" width="11.5703125" bestFit="1" customWidth="1"/>
    <col min="13" max="13" width="0" hidden="1" customWidth="1"/>
  </cols>
  <sheetData>
    <row r="1" spans="1:14" ht="18" x14ac:dyDescent="0.25">
      <c r="A1" s="393"/>
      <c r="B1" s="393"/>
      <c r="C1" s="393"/>
      <c r="D1" s="393"/>
      <c r="E1" s="393"/>
      <c r="F1" s="394" t="s">
        <v>65</v>
      </c>
      <c r="G1" s="393"/>
      <c r="H1" s="219"/>
      <c r="I1" s="219"/>
      <c r="J1" s="219"/>
      <c r="K1" s="219"/>
      <c r="L1" s="219"/>
      <c r="M1" s="219"/>
      <c r="N1" s="219"/>
    </row>
    <row r="2" spans="1:14" ht="15.75" x14ac:dyDescent="0.25">
      <c r="A2" s="395"/>
      <c r="B2" s="395"/>
      <c r="C2" s="395"/>
      <c r="D2" s="395"/>
      <c r="E2" s="395"/>
      <c r="F2" s="724" t="s">
        <v>192</v>
      </c>
      <c r="G2" s="395"/>
      <c r="H2" s="478"/>
      <c r="I2" s="396"/>
      <c r="J2" s="219"/>
      <c r="K2" s="219"/>
      <c r="L2" s="219"/>
      <c r="M2" s="219"/>
      <c r="N2" s="219"/>
    </row>
    <row r="3" spans="1:14" ht="15.75" x14ac:dyDescent="0.25">
      <c r="A3" s="190"/>
      <c r="B3" s="531"/>
      <c r="C3" s="531"/>
      <c r="D3" s="531"/>
      <c r="E3" s="531"/>
      <c r="F3" s="2"/>
      <c r="G3" s="532" t="s">
        <v>205</v>
      </c>
      <c r="H3" s="533" t="s">
        <v>202</v>
      </c>
      <c r="I3" s="385" t="s">
        <v>21</v>
      </c>
      <c r="J3" s="386" t="s">
        <v>378</v>
      </c>
      <c r="K3" s="63"/>
      <c r="L3" s="64"/>
      <c r="M3" s="65" t="s">
        <v>51</v>
      </c>
    </row>
    <row r="4" spans="1:14" ht="15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284</v>
      </c>
      <c r="F4" s="533" t="s">
        <v>52</v>
      </c>
      <c r="G4" s="535" t="s">
        <v>53</v>
      </c>
      <c r="H4" s="535" t="s">
        <v>53</v>
      </c>
      <c r="I4" s="387" t="s">
        <v>53</v>
      </c>
      <c r="J4" s="331" t="s">
        <v>54</v>
      </c>
      <c r="K4" s="252"/>
      <c r="L4" s="253"/>
      <c r="M4" s="483" t="s">
        <v>55</v>
      </c>
      <c r="N4" s="484"/>
    </row>
    <row r="5" spans="1:14" ht="15" x14ac:dyDescent="0.25">
      <c r="A5" s="533" t="s">
        <v>160</v>
      </c>
      <c r="B5" s="555" t="s">
        <v>269</v>
      </c>
      <c r="C5" s="549">
        <v>2420</v>
      </c>
      <c r="D5" s="549">
        <v>4167</v>
      </c>
      <c r="E5" s="549"/>
      <c r="F5" s="163" t="s">
        <v>237</v>
      </c>
      <c r="G5" s="165" t="e">
        <f>SUM(Žádost!#REF!)</f>
        <v>#REF!</v>
      </c>
      <c r="H5" s="165" t="e">
        <f>SUM(Žádost!#REF!)</f>
        <v>#REF!</v>
      </c>
      <c r="I5" s="473" t="e">
        <f>SUM(Žádost!#REF!)</f>
        <v>#REF!</v>
      </c>
      <c r="J5" s="249" t="e">
        <f>I5/H5</f>
        <v>#REF!</v>
      </c>
      <c r="K5" s="74"/>
      <c r="L5" s="72"/>
      <c r="M5" s="52"/>
    </row>
    <row r="6" spans="1:14" ht="15" x14ac:dyDescent="0.25">
      <c r="A6" s="533" t="s">
        <v>160</v>
      </c>
      <c r="B6" s="555" t="s">
        <v>66</v>
      </c>
      <c r="C6" s="549">
        <v>2141</v>
      </c>
      <c r="D6" s="549">
        <v>4167</v>
      </c>
      <c r="E6" s="549"/>
      <c r="F6" s="163" t="s">
        <v>238</v>
      </c>
      <c r="G6" s="165" t="e">
        <f>SUM(Žádost!#REF!)</f>
        <v>#REF!</v>
      </c>
      <c r="H6" s="165" t="e">
        <f>SUM(Žádost!#REF!)</f>
        <v>#REF!</v>
      </c>
      <c r="I6" s="13" t="e">
        <f>SUM(Žádost!#REF!)</f>
        <v>#REF!</v>
      </c>
      <c r="J6" s="249" t="e">
        <f>I6/H6</f>
        <v>#REF!</v>
      </c>
      <c r="K6" s="45"/>
      <c r="L6" s="72"/>
      <c r="M6" s="4"/>
    </row>
    <row r="7" spans="1:14" ht="15" x14ac:dyDescent="0.25">
      <c r="A7" s="556"/>
      <c r="B7" s="557"/>
      <c r="C7" s="558"/>
      <c r="D7" s="558"/>
      <c r="E7" s="558"/>
      <c r="F7" s="559" t="s">
        <v>420</v>
      </c>
      <c r="G7" s="530" t="e">
        <f>SUM(G5:G6)</f>
        <v>#REF!</v>
      </c>
      <c r="H7" s="530" t="e">
        <f>SUM(H5:H6)</f>
        <v>#REF!</v>
      </c>
      <c r="I7" s="154" t="e">
        <f>SUM(I5:I6)</f>
        <v>#REF!</v>
      </c>
      <c r="J7" s="247" t="e">
        <f>I7/H7</f>
        <v>#REF!</v>
      </c>
      <c r="K7" s="45"/>
      <c r="L7" s="72"/>
      <c r="M7" s="4"/>
    </row>
    <row r="8" spans="1:14" ht="15" x14ac:dyDescent="0.25">
      <c r="A8" s="556" t="s">
        <v>265</v>
      </c>
      <c r="B8" s="558">
        <v>0</v>
      </c>
      <c r="C8" s="558">
        <v>8115</v>
      </c>
      <c r="D8" s="558">
        <v>92242</v>
      </c>
      <c r="E8" s="549"/>
      <c r="F8" s="699" t="s">
        <v>41</v>
      </c>
      <c r="G8" s="696" t="e">
        <f>SUM(Žádost!#REF!)</f>
        <v>#REF!</v>
      </c>
      <c r="H8" s="696" t="e">
        <f>SUM(Žádost!#REF!)</f>
        <v>#REF!</v>
      </c>
      <c r="I8" s="13" t="e">
        <f>SUM(Žádost!#REF!)</f>
        <v>#REF!</v>
      </c>
      <c r="J8" s="249" t="e">
        <f>I8/H8</f>
        <v>#REF!</v>
      </c>
      <c r="K8" s="45"/>
      <c r="L8" s="72"/>
      <c r="M8" s="4"/>
    </row>
    <row r="9" spans="1:14" ht="15" x14ac:dyDescent="0.25">
      <c r="A9" s="560"/>
      <c r="B9" s="561"/>
      <c r="C9" s="561"/>
      <c r="D9" s="562"/>
      <c r="E9" s="562"/>
      <c r="F9" s="559" t="s">
        <v>209</v>
      </c>
      <c r="G9" s="563" t="e">
        <f>SUM(G7:G8)</f>
        <v>#REF!</v>
      </c>
      <c r="H9" s="563" t="e">
        <f>SUM(H7:H8)</f>
        <v>#REF!</v>
      </c>
      <c r="I9" s="251" t="e">
        <f>SUM(I7:I8)</f>
        <v>#REF!</v>
      </c>
      <c r="J9" s="247" t="e">
        <f>I9/H9</f>
        <v>#REF!</v>
      </c>
      <c r="K9" s="33"/>
      <c r="L9" s="84"/>
      <c r="M9" s="85">
        <f>SUM(M5:M6)</f>
        <v>0</v>
      </c>
    </row>
    <row r="10" spans="1:14" ht="15" x14ac:dyDescent="0.25">
      <c r="A10" s="560"/>
      <c r="B10" s="560"/>
      <c r="C10" s="560"/>
      <c r="D10" s="564"/>
      <c r="E10" s="564"/>
      <c r="F10" s="190"/>
      <c r="G10" s="565"/>
      <c r="H10" s="566"/>
    </row>
    <row r="11" spans="1:14" ht="15" x14ac:dyDescent="0.25">
      <c r="A11" s="726" t="s">
        <v>151</v>
      </c>
      <c r="B11" s="726"/>
      <c r="C11" s="726"/>
      <c r="D11" s="727"/>
      <c r="E11" s="727"/>
      <c r="F11" s="728"/>
      <c r="G11" s="729" t="e">
        <f>SUM(G9)</f>
        <v>#REF!</v>
      </c>
      <c r="H11" s="729" t="e">
        <f>SUM(H9)</f>
        <v>#REF!</v>
      </c>
      <c r="I11" s="477" t="e">
        <f>SUM(I9)</f>
        <v>#REF!</v>
      </c>
      <c r="J11" s="730" t="e">
        <f>I11/H11</f>
        <v>#REF!</v>
      </c>
      <c r="K11" s="88"/>
      <c r="L11" s="89"/>
      <c r="M11" s="87" t="e">
        <f>SUM(M9,#REF!)</f>
        <v>#REF!</v>
      </c>
    </row>
    <row r="12" spans="1:14" ht="15" x14ac:dyDescent="0.25">
      <c r="A12" s="560"/>
      <c r="B12" s="531"/>
      <c r="C12" s="531"/>
      <c r="D12" s="568"/>
      <c r="E12" s="568"/>
      <c r="F12" s="569"/>
      <c r="G12" s="570"/>
      <c r="H12" s="566"/>
      <c r="I12" s="385" t="s">
        <v>152</v>
      </c>
      <c r="J12" s="386" t="s">
        <v>378</v>
      </c>
      <c r="K12" s="385" t="s">
        <v>153</v>
      </c>
      <c r="L12" s="386" t="s">
        <v>318</v>
      </c>
      <c r="N12" s="485" t="s">
        <v>164</v>
      </c>
    </row>
    <row r="13" spans="1:14" ht="15" x14ac:dyDescent="0.25">
      <c r="A13" s="533" t="s">
        <v>3</v>
      </c>
      <c r="B13" s="533" t="s">
        <v>319</v>
      </c>
      <c r="C13" s="571" t="s">
        <v>5</v>
      </c>
      <c r="D13" s="533" t="s">
        <v>6</v>
      </c>
      <c r="E13" s="533" t="s">
        <v>284</v>
      </c>
      <c r="F13" s="533" t="s">
        <v>129</v>
      </c>
      <c r="G13" s="532" t="s">
        <v>53</v>
      </c>
      <c r="H13" s="532" t="s">
        <v>53</v>
      </c>
      <c r="I13" s="387" t="s">
        <v>53</v>
      </c>
      <c r="J13" s="387" t="s">
        <v>54</v>
      </c>
      <c r="K13" s="387" t="s">
        <v>53</v>
      </c>
      <c r="L13" s="387" t="s">
        <v>54</v>
      </c>
      <c r="M13" s="66" t="s">
        <v>53</v>
      </c>
      <c r="N13" s="49"/>
    </row>
    <row r="14" spans="1:14" ht="15" hidden="1" x14ac:dyDescent="0.25">
      <c r="A14" s="533"/>
      <c r="B14" s="572"/>
      <c r="C14" s="572"/>
      <c r="D14" s="572"/>
      <c r="E14" s="572"/>
      <c r="F14" s="550"/>
      <c r="G14" s="573"/>
      <c r="H14" s="573"/>
      <c r="I14" s="466"/>
      <c r="J14" s="249"/>
      <c r="K14" s="466"/>
      <c r="L14" s="249" t="e">
        <f>K14/H14</f>
        <v>#DIV/0!</v>
      </c>
      <c r="M14" s="68"/>
      <c r="N14" s="268"/>
    </row>
    <row r="15" spans="1:14" ht="15" hidden="1" x14ac:dyDescent="0.25">
      <c r="A15" s="533"/>
      <c r="B15" s="572"/>
      <c r="C15" s="572"/>
      <c r="D15" s="572"/>
      <c r="E15" s="572"/>
      <c r="F15" s="186"/>
      <c r="G15" s="574"/>
      <c r="H15" s="574"/>
      <c r="I15" s="474"/>
      <c r="J15" s="249"/>
      <c r="K15" s="474"/>
      <c r="L15" s="249" t="e">
        <f>K15/H15</f>
        <v>#DIV/0!</v>
      </c>
      <c r="M15" s="68"/>
      <c r="N15" s="268"/>
    </row>
    <row r="16" spans="1:14" ht="15" hidden="1" x14ac:dyDescent="0.25">
      <c r="A16" s="533"/>
      <c r="B16" s="572"/>
      <c r="C16" s="572"/>
      <c r="D16" s="572"/>
      <c r="E16" s="572"/>
      <c r="F16" s="186"/>
      <c r="G16" s="574"/>
      <c r="H16" s="574"/>
      <c r="I16" s="474"/>
      <c r="J16" s="249"/>
      <c r="K16" s="474"/>
      <c r="L16" s="249" t="e">
        <f>K16/H16</f>
        <v>#DIV/0!</v>
      </c>
      <c r="M16" s="68"/>
      <c r="N16" s="268"/>
    </row>
    <row r="17" spans="1:14" ht="15" hidden="1" x14ac:dyDescent="0.25">
      <c r="A17" s="551"/>
      <c r="B17" s="552"/>
      <c r="C17" s="552"/>
      <c r="D17" s="552"/>
      <c r="E17" s="552"/>
      <c r="F17" s="575"/>
      <c r="G17" s="207"/>
      <c r="H17" s="207"/>
      <c r="I17" s="28"/>
      <c r="J17" s="250"/>
      <c r="K17" s="28"/>
      <c r="L17" s="250" t="e">
        <f>K17/H17</f>
        <v>#DIV/0!</v>
      </c>
      <c r="M17" s="4"/>
      <c r="N17" s="268"/>
    </row>
    <row r="18" spans="1:14" ht="15" hidden="1" x14ac:dyDescent="0.25">
      <c r="A18" s="576"/>
      <c r="B18" s="577"/>
      <c r="C18" s="577"/>
      <c r="D18" s="578"/>
      <c r="E18" s="700"/>
      <c r="F18" s="579" t="s">
        <v>148</v>
      </c>
      <c r="G18" s="580">
        <f>SUM(G14:G17)</f>
        <v>0</v>
      </c>
      <c r="H18" s="580">
        <f>SUM(H14:H17)</f>
        <v>0</v>
      </c>
      <c r="I18" s="92">
        <f>SUM(I14:I17)</f>
        <v>0</v>
      </c>
      <c r="J18" s="83" t="e">
        <f>I18/H18</f>
        <v>#DIV/0!</v>
      </c>
      <c r="K18" s="93">
        <f>SUM(K14:K17)</f>
        <v>0</v>
      </c>
      <c r="L18" s="83" t="e">
        <f>K18/H18</f>
        <v>#DIV/0!</v>
      </c>
      <c r="M18" s="93">
        <f>SUM(M17:M17)</f>
        <v>0</v>
      </c>
      <c r="N18" s="5"/>
    </row>
    <row r="19" spans="1:14" ht="15" hidden="1" x14ac:dyDescent="0.25">
      <c r="A19" s="537"/>
      <c r="B19" s="540"/>
      <c r="C19" s="540"/>
      <c r="D19" s="540"/>
      <c r="E19" s="540"/>
      <c r="F19" s="538"/>
      <c r="G19" s="581"/>
      <c r="H19" s="581"/>
      <c r="I19" s="94"/>
      <c r="J19" s="84"/>
      <c r="K19" s="94"/>
      <c r="L19" s="84"/>
      <c r="M19" s="94"/>
      <c r="N19" s="5"/>
    </row>
    <row r="20" spans="1:14" ht="15" hidden="1" x14ac:dyDescent="0.25">
      <c r="A20" s="537"/>
      <c r="B20" s="540"/>
      <c r="C20" s="540"/>
      <c r="D20" s="540"/>
      <c r="E20" s="540"/>
      <c r="F20" s="538"/>
      <c r="G20" s="581"/>
      <c r="H20" s="581"/>
      <c r="I20" s="94"/>
      <c r="J20" s="84"/>
      <c r="K20" s="94"/>
      <c r="L20" s="84"/>
      <c r="M20" s="94"/>
      <c r="N20" s="5"/>
    </row>
    <row r="21" spans="1:14" ht="15" hidden="1" x14ac:dyDescent="0.25">
      <c r="A21" s="537"/>
      <c r="B21" s="540"/>
      <c r="C21" s="540"/>
      <c r="D21" s="540"/>
      <c r="E21" s="540"/>
      <c r="F21" s="537"/>
      <c r="G21" s="581"/>
      <c r="H21" s="677"/>
      <c r="I21" s="39"/>
      <c r="J21" s="40"/>
      <c r="K21" s="40"/>
      <c r="L21" s="40"/>
      <c r="N21" s="5"/>
    </row>
    <row r="22" spans="1:14" ht="15" x14ac:dyDescent="0.25">
      <c r="A22" s="533" t="s">
        <v>160</v>
      </c>
      <c r="B22" s="549">
        <v>0</v>
      </c>
      <c r="C22" s="549">
        <v>8124</v>
      </c>
      <c r="D22" s="549">
        <v>92242</v>
      </c>
      <c r="E22" s="549"/>
      <c r="F22" s="163" t="s">
        <v>498</v>
      </c>
      <c r="G22" s="168" t="e">
        <f>SUM(#REF!)</f>
        <v>#REF!</v>
      </c>
      <c r="H22" s="168" t="e">
        <f>SUM(#REF!)</f>
        <v>#REF!</v>
      </c>
      <c r="I22" s="529" t="e">
        <f>SUM(#REF!)</f>
        <v>#REF!</v>
      </c>
      <c r="J22" s="263" t="e">
        <f>I22/H22</f>
        <v>#REF!</v>
      </c>
      <c r="K22" s="680" t="e">
        <f>SUM(#REF!)</f>
        <v>#REF!</v>
      </c>
      <c r="L22" s="263" t="e">
        <f>K22/H22</f>
        <v>#REF!</v>
      </c>
      <c r="M22" s="680"/>
      <c r="N22" s="169"/>
    </row>
    <row r="23" spans="1:14" ht="15" x14ac:dyDescent="0.25">
      <c r="A23" s="701" t="s">
        <v>160</v>
      </c>
      <c r="B23" s="702">
        <v>3619</v>
      </c>
      <c r="C23" s="702">
        <v>6424</v>
      </c>
      <c r="D23" s="702">
        <v>4167</v>
      </c>
      <c r="E23" s="702">
        <v>92242</v>
      </c>
      <c r="F23" s="692" t="s">
        <v>419</v>
      </c>
      <c r="G23" s="703" t="e">
        <f>SUM(#REF!)</f>
        <v>#REF!</v>
      </c>
      <c r="H23" s="703" t="e">
        <f>SUM(#REF!)</f>
        <v>#REF!</v>
      </c>
      <c r="I23" s="444" t="e">
        <f>SUM(#REF!)</f>
        <v>#REF!</v>
      </c>
      <c r="J23" s="263" t="e">
        <f>I23/H23</f>
        <v>#REF!</v>
      </c>
      <c r="K23" s="444" t="e">
        <f>SUM(#REF!)</f>
        <v>#REF!</v>
      </c>
      <c r="L23" s="263" t="e">
        <f>K23/H23</f>
        <v>#REF!</v>
      </c>
      <c r="M23" s="52"/>
      <c r="N23" s="264"/>
    </row>
    <row r="24" spans="1:14" ht="15" x14ac:dyDescent="0.25">
      <c r="A24" s="533" t="s">
        <v>160</v>
      </c>
      <c r="B24" s="549">
        <v>6310</v>
      </c>
      <c r="C24" s="549">
        <v>5141</v>
      </c>
      <c r="D24" s="552">
        <v>4167</v>
      </c>
      <c r="E24" s="552"/>
      <c r="F24" s="163" t="s">
        <v>349</v>
      </c>
      <c r="G24" s="165" t="e">
        <f>SUM(#REF!)</f>
        <v>#REF!</v>
      </c>
      <c r="H24" s="165" t="e">
        <f>SUM(#REF!)</f>
        <v>#REF!</v>
      </c>
      <c r="I24" s="14" t="e">
        <f>SUM(#REF!)</f>
        <v>#REF!</v>
      </c>
      <c r="J24" s="475" t="e">
        <f>I24/H24</f>
        <v>#REF!</v>
      </c>
      <c r="K24" s="14" t="e">
        <f>SUM(#REF!)</f>
        <v>#REF!</v>
      </c>
      <c r="L24" s="475" t="e">
        <f>K24/H24</f>
        <v>#REF!</v>
      </c>
      <c r="M24" s="52"/>
      <c r="N24" s="268"/>
    </row>
    <row r="25" spans="1:14" ht="15" x14ac:dyDescent="0.25">
      <c r="A25" s="560"/>
      <c r="B25" s="561"/>
      <c r="C25" s="561"/>
      <c r="D25" s="561"/>
      <c r="E25" s="561"/>
      <c r="F25" s="572" t="s">
        <v>229</v>
      </c>
      <c r="G25" s="580" t="e">
        <f>SUM(G22:G24)</f>
        <v>#REF!</v>
      </c>
      <c r="H25" s="580" t="e">
        <f>SUM(H22:H24)</f>
        <v>#REF!</v>
      </c>
      <c r="I25" s="580" t="e">
        <f>SUM(I22:I24)</f>
        <v>#REF!</v>
      </c>
      <c r="J25" s="83" t="e">
        <f>I25/H25</f>
        <v>#REF!</v>
      </c>
      <c r="K25" s="580" t="e">
        <f>SUM(K22:K24)</f>
        <v>#REF!</v>
      </c>
      <c r="L25" s="83" t="e">
        <f>K25/H25</f>
        <v>#REF!</v>
      </c>
      <c r="M25" s="93">
        <f>SUM(M23:M24)</f>
        <v>0</v>
      </c>
      <c r="N25" s="5"/>
    </row>
    <row r="26" spans="1:14" ht="15" x14ac:dyDescent="0.25">
      <c r="A26" s="560"/>
      <c r="B26" s="587"/>
      <c r="C26" s="587"/>
      <c r="D26" s="587"/>
      <c r="E26" s="587"/>
      <c r="F26" s="190"/>
      <c r="G26" s="565"/>
      <c r="H26" s="190"/>
      <c r="I26" s="99"/>
    </row>
    <row r="27" spans="1:14" ht="15" x14ac:dyDescent="0.25">
      <c r="A27" s="726" t="s">
        <v>421</v>
      </c>
      <c r="B27" s="726"/>
      <c r="C27" s="726"/>
      <c r="D27" s="726"/>
      <c r="E27" s="726"/>
      <c r="F27" s="728"/>
      <c r="G27" s="729" t="e">
        <f>SUM(G18,G25)</f>
        <v>#REF!</v>
      </c>
      <c r="H27" s="729" t="e">
        <f>SUM(H18,H25)</f>
        <v>#REF!</v>
      </c>
      <c r="I27" s="477" t="e">
        <f>SUM(I18,I25)</f>
        <v>#REF!</v>
      </c>
      <c r="J27" s="416" t="e">
        <f>I27/H27</f>
        <v>#REF!</v>
      </c>
      <c r="K27" s="477" t="e">
        <f>SUM(K18,K25)</f>
        <v>#REF!</v>
      </c>
      <c r="L27" s="730" t="e">
        <f>K27/H27</f>
        <v>#REF!</v>
      </c>
      <c r="M27" s="87" t="e">
        <f>SUM(M18,#REF!,M25)</f>
        <v>#REF!</v>
      </c>
    </row>
    <row r="28" spans="1:14" ht="15" x14ac:dyDescent="0.25">
      <c r="A28" s="560"/>
      <c r="B28" s="566"/>
      <c r="C28" s="566"/>
      <c r="D28" s="566"/>
      <c r="E28" s="566"/>
      <c r="F28" s="569"/>
      <c r="G28" s="570"/>
      <c r="H28" s="190"/>
      <c r="I28" s="99"/>
    </row>
    <row r="29" spans="1:14" ht="15" x14ac:dyDescent="0.25">
      <c r="A29" s="726" t="s">
        <v>0</v>
      </c>
      <c r="B29" s="731"/>
      <c r="C29" s="731"/>
      <c r="D29" s="731"/>
      <c r="E29" s="731"/>
      <c r="F29" s="731"/>
      <c r="G29" s="729" t="e">
        <f>G11-G27</f>
        <v>#REF!</v>
      </c>
      <c r="H29" s="729" t="e">
        <f>H11-H27</f>
        <v>#REF!</v>
      </c>
      <c r="I29" s="477" t="e">
        <f>I11-I27</f>
        <v>#REF!</v>
      </c>
      <c r="J29" s="732"/>
      <c r="K29" s="477"/>
      <c r="L29" s="730"/>
      <c r="M29" s="87" t="e">
        <f>M11-M27</f>
        <v>#REF!</v>
      </c>
    </row>
    <row r="30" spans="1:14" x14ac:dyDescent="0.2">
      <c r="A30" s="3"/>
      <c r="B30" s="100"/>
      <c r="C30" s="100"/>
      <c r="D30" s="100"/>
      <c r="E30" s="100"/>
      <c r="G30" s="4"/>
      <c r="I30" s="101"/>
    </row>
    <row r="31" spans="1:14" x14ac:dyDescent="0.2">
      <c r="A31" s="102"/>
      <c r="G31" s="4"/>
      <c r="I31" s="101"/>
    </row>
    <row r="32" spans="1:14" hidden="1" x14ac:dyDescent="0.2">
      <c r="A32" s="102" t="s">
        <v>256</v>
      </c>
      <c r="G32" s="4">
        <v>25080</v>
      </c>
      <c r="I32" s="101"/>
    </row>
    <row r="33" spans="1:9" hidden="1" x14ac:dyDescent="0.2">
      <c r="A33" s="102" t="s">
        <v>257</v>
      </c>
      <c r="G33" s="4">
        <f>SUM('[1]FRB 2001-RO'!H21)</f>
        <v>18163</v>
      </c>
      <c r="I33" s="101"/>
    </row>
    <row r="34" spans="1:9" hidden="1" x14ac:dyDescent="0.2">
      <c r="A34" s="102" t="s">
        <v>399</v>
      </c>
      <c r="G34" s="4">
        <f>SUM(G32:G33)</f>
        <v>43243</v>
      </c>
      <c r="I34" s="101"/>
    </row>
    <row r="35" spans="1:9" hidden="1" x14ac:dyDescent="0.2">
      <c r="A35" s="102" t="s">
        <v>400</v>
      </c>
      <c r="G35" s="4">
        <v>3170</v>
      </c>
      <c r="I35" s="101"/>
    </row>
    <row r="36" spans="1:9" hidden="1" x14ac:dyDescent="0.2">
      <c r="A36" s="102" t="s">
        <v>46</v>
      </c>
      <c r="G36" s="4">
        <f>SUM('[1]FRB 2001-RO'!H58)</f>
        <v>50498</v>
      </c>
      <c r="I36" s="101"/>
    </row>
    <row r="37" spans="1:9" hidden="1" x14ac:dyDescent="0.2">
      <c r="A37" s="102" t="s">
        <v>47</v>
      </c>
      <c r="G37" s="4">
        <f>G34-G35-G36</f>
        <v>-10425</v>
      </c>
      <c r="I37" s="101"/>
    </row>
    <row r="38" spans="1:9" hidden="1" x14ac:dyDescent="0.2">
      <c r="A38" s="102"/>
      <c r="G38" s="4">
        <v>3170</v>
      </c>
      <c r="I38" s="101"/>
    </row>
    <row r="39" spans="1:9" hidden="1" x14ac:dyDescent="0.2">
      <c r="A39" s="102" t="s">
        <v>501</v>
      </c>
      <c r="G39" s="4">
        <f>G37+G38</f>
        <v>-7255</v>
      </c>
      <c r="I39" s="101"/>
    </row>
    <row r="40" spans="1:9" hidden="1" x14ac:dyDescent="0.2">
      <c r="A40" s="3"/>
      <c r="G40" s="4"/>
      <c r="I40" s="101"/>
    </row>
    <row r="41" spans="1:9" hidden="1" x14ac:dyDescent="0.2">
      <c r="A41" s="102" t="s">
        <v>502</v>
      </c>
      <c r="G41" s="4" t="e">
        <f>SUM(G11)</f>
        <v>#REF!</v>
      </c>
      <c r="I41" s="101"/>
    </row>
    <row r="42" spans="1:9" hidden="1" x14ac:dyDescent="0.2">
      <c r="A42" s="102" t="s">
        <v>38</v>
      </c>
      <c r="G42" s="103" t="e">
        <f>G39+G41</f>
        <v>#REF!</v>
      </c>
      <c r="I42" s="101"/>
    </row>
    <row r="43" spans="1:9" hidden="1" x14ac:dyDescent="0.2">
      <c r="A43" s="3"/>
      <c r="G43" s="4"/>
      <c r="I43" s="101"/>
    </row>
    <row r="44" spans="1:9" hidden="1" x14ac:dyDescent="0.2">
      <c r="A44" s="102" t="s">
        <v>214</v>
      </c>
      <c r="G44" s="103" t="e">
        <f>SUM(G27)</f>
        <v>#REF!</v>
      </c>
      <c r="I44" s="101"/>
    </row>
    <row r="45" spans="1:9" hidden="1" x14ac:dyDescent="0.2">
      <c r="A45" s="102" t="s">
        <v>483</v>
      </c>
      <c r="G45" s="4">
        <f>SUM(G18)</f>
        <v>0</v>
      </c>
      <c r="I45" s="101"/>
    </row>
    <row r="46" spans="1:9" hidden="1" x14ac:dyDescent="0.2">
      <c r="A46" s="102" t="s">
        <v>223</v>
      </c>
      <c r="G46" s="4" t="e">
        <f>SUM(G25)</f>
        <v>#REF!</v>
      </c>
      <c r="I46" s="101"/>
    </row>
    <row r="47" spans="1:9" hidden="1" x14ac:dyDescent="0.2">
      <c r="A47" s="102" t="s">
        <v>494</v>
      </c>
      <c r="G47" s="4" t="e">
        <f>SUM(#REF!)</f>
        <v>#REF!</v>
      </c>
      <c r="I47" s="101"/>
    </row>
    <row r="48" spans="1:9" hidden="1" x14ac:dyDescent="0.2">
      <c r="A48" s="102" t="s">
        <v>253</v>
      </c>
      <c r="G48" s="4" t="e">
        <f>SUM(#REF!)</f>
        <v>#REF!</v>
      </c>
      <c r="I48" s="101"/>
    </row>
    <row r="49" spans="1:14" hidden="1" x14ac:dyDescent="0.2">
      <c r="A49" s="102" t="s">
        <v>289</v>
      </c>
      <c r="G49" s="4" t="e">
        <f>SUM(#REF!)</f>
        <v>#REF!</v>
      </c>
      <c r="I49" s="101"/>
    </row>
    <row r="50" spans="1:14" hidden="1" x14ac:dyDescent="0.2">
      <c r="A50" s="3"/>
      <c r="G50" s="4"/>
      <c r="I50" s="101"/>
      <c r="N50" s="4" t="e">
        <f>SUM(G45:G49)</f>
        <v>#REF!</v>
      </c>
    </row>
    <row r="51" spans="1:14" hidden="1" x14ac:dyDescent="0.2">
      <c r="A51" s="102" t="s">
        <v>236</v>
      </c>
      <c r="G51" s="103" t="e">
        <f>G42-G44</f>
        <v>#REF!</v>
      </c>
      <c r="I51" s="101"/>
    </row>
    <row r="52" spans="1:14" x14ac:dyDescent="0.2">
      <c r="A52" s="3"/>
      <c r="I52" s="101"/>
    </row>
    <row r="53" spans="1:14" x14ac:dyDescent="0.2">
      <c r="A53" s="3"/>
      <c r="F53" s="104"/>
      <c r="I53" s="54" t="s">
        <v>120</v>
      </c>
      <c r="K53" s="54"/>
    </row>
    <row r="54" spans="1:14" x14ac:dyDescent="0.2">
      <c r="A54" s="3"/>
      <c r="F54" s="104"/>
      <c r="I54" s="55" t="s">
        <v>121</v>
      </c>
      <c r="K54" s="55"/>
    </row>
    <row r="55" spans="1:14" x14ac:dyDescent="0.2">
      <c r="A55" s="3"/>
      <c r="I55" s="101"/>
    </row>
    <row r="56" spans="1:14" x14ac:dyDescent="0.2">
      <c r="A56" s="3"/>
      <c r="I56" s="101"/>
    </row>
    <row r="57" spans="1:14" x14ac:dyDescent="0.2">
      <c r="A57" s="3"/>
      <c r="I57" s="101"/>
    </row>
    <row r="58" spans="1:14" x14ac:dyDescent="0.2">
      <c r="A58" s="3"/>
      <c r="I58" s="101"/>
    </row>
  </sheetData>
  <phoneticPr fontId="0" type="noConversion"/>
  <pageMargins left="0.78740157499999996" right="0.78740157499999996" top="0.984251969" bottom="0.984251969" header="0.4921259845" footer="0.4921259845"/>
  <pageSetup paperSize="9" scale="60" orientation="landscape" horizontalDpi="300" verticalDpi="300" r:id="rId1"/>
  <headerFooter alignWithMargins="0">
    <oddHeader xml:space="preserve">&amp;LMěsto Ostrov&amp;RM:  3 b </oddHeader>
    <oddFooter>&amp;LFRB - ÚZ 922 42 - prostředky od SFRB ČR&amp;C&amp;P&amp;RZpracoval: OF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M105"/>
  <sheetViews>
    <sheetView workbookViewId="0"/>
  </sheetViews>
  <sheetFormatPr defaultRowHeight="12.75" x14ac:dyDescent="0.2"/>
  <cols>
    <col min="1" max="1" width="36.7109375" customWidth="1"/>
    <col min="2" max="2" width="10.5703125" customWidth="1"/>
    <col min="3" max="3" width="10.7109375" customWidth="1"/>
    <col min="4" max="4" width="9.7109375" hidden="1" customWidth="1"/>
    <col min="5" max="5" width="14" customWidth="1"/>
    <col min="6" max="7" width="15" customWidth="1"/>
    <col min="8" max="8" width="13.7109375" style="6" bestFit="1" customWidth="1"/>
  </cols>
  <sheetData>
    <row r="1" spans="1:7" ht="18" x14ac:dyDescent="0.25">
      <c r="A1" s="418" t="s">
        <v>390</v>
      </c>
    </row>
    <row r="2" spans="1:7" x14ac:dyDescent="0.2">
      <c r="C2" s="95"/>
    </row>
    <row r="3" spans="1:7" x14ac:dyDescent="0.2">
      <c r="A3" s="419" t="s">
        <v>234</v>
      </c>
      <c r="B3" s="419" t="s">
        <v>235</v>
      </c>
      <c r="C3" s="392" t="s">
        <v>225</v>
      </c>
      <c r="D3" s="420" t="s">
        <v>472</v>
      </c>
      <c r="E3" s="419" t="s">
        <v>473</v>
      </c>
      <c r="F3" s="419" t="s">
        <v>448</v>
      </c>
      <c r="G3" s="69"/>
    </row>
    <row r="4" spans="1:7" x14ac:dyDescent="0.2">
      <c r="A4" s="421" t="s">
        <v>381</v>
      </c>
      <c r="B4" s="421" t="s">
        <v>449</v>
      </c>
      <c r="C4" s="461" t="s">
        <v>449</v>
      </c>
      <c r="D4" s="422" t="s">
        <v>450</v>
      </c>
      <c r="E4" s="421" t="s">
        <v>381</v>
      </c>
      <c r="F4" s="421" t="s">
        <v>451</v>
      </c>
      <c r="G4" s="69"/>
    </row>
    <row r="5" spans="1:7" x14ac:dyDescent="0.2">
      <c r="A5" s="423"/>
      <c r="B5" s="424"/>
      <c r="C5" s="462"/>
      <c r="D5" s="425" t="s">
        <v>452</v>
      </c>
      <c r="E5" s="423"/>
      <c r="F5" s="424" t="s">
        <v>453</v>
      </c>
      <c r="G5" s="69"/>
    </row>
    <row r="6" spans="1:7" x14ac:dyDescent="0.2">
      <c r="A6" s="426" t="s">
        <v>454</v>
      </c>
      <c r="B6" s="12" t="e">
        <f>SUM(B7:B8)</f>
        <v>#REF!</v>
      </c>
      <c r="C6" s="206" t="e">
        <f>SUM(C7:C8)</f>
        <v>#REF!</v>
      </c>
      <c r="D6" s="13" t="e">
        <f>C6-B6</f>
        <v>#REF!</v>
      </c>
      <c r="E6" s="37" t="e">
        <f>SUM(E7:E8)</f>
        <v>#REF!</v>
      </c>
      <c r="F6" s="464" t="e">
        <f>E6/C6</f>
        <v>#REF!</v>
      </c>
      <c r="G6" s="427"/>
    </row>
    <row r="7" spans="1:7" x14ac:dyDescent="0.2">
      <c r="A7" s="428" t="s">
        <v>455</v>
      </c>
      <c r="B7" s="12" t="e">
        <f>SUM(Žádost!#REF!)</f>
        <v>#REF!</v>
      </c>
      <c r="C7" s="206" t="e">
        <f>SUM(Žádost!#REF!)</f>
        <v>#REF!</v>
      </c>
      <c r="D7" s="13" t="e">
        <f>C7-B7</f>
        <v>#REF!</v>
      </c>
      <c r="E7" s="13" t="e">
        <f>SUM(Žádost!#REF!)</f>
        <v>#REF!</v>
      </c>
      <c r="F7" s="464" t="e">
        <f>E7/C7</f>
        <v>#REF!</v>
      </c>
      <c r="G7" s="427"/>
    </row>
    <row r="8" spans="1:7" x14ac:dyDescent="0.2">
      <c r="A8" s="443" t="s">
        <v>456</v>
      </c>
      <c r="B8" s="444" t="e">
        <f>SUM(Žádost!#REF!)</f>
        <v>#REF!</v>
      </c>
      <c r="C8" s="463" t="e">
        <f>SUM(Žádost!#REF!)</f>
        <v>#REF!</v>
      </c>
      <c r="D8" s="28" t="e">
        <f>C8-B8</f>
        <v>#REF!</v>
      </c>
      <c r="E8" s="445" t="e">
        <f>SUM(Žádost!#REF!)</f>
        <v>#REF!</v>
      </c>
      <c r="F8" s="446" t="e">
        <f>E8/C8</f>
        <v>#REF!</v>
      </c>
      <c r="G8" s="427"/>
    </row>
    <row r="9" spans="1:7" x14ac:dyDescent="0.2">
      <c r="A9" s="426"/>
      <c r="B9" s="12"/>
      <c r="C9" s="12"/>
      <c r="D9" s="13"/>
      <c r="E9" s="93"/>
      <c r="F9" s="464"/>
      <c r="G9" s="427"/>
    </row>
    <row r="10" spans="1:7" x14ac:dyDescent="0.2">
      <c r="A10" s="449" t="s">
        <v>109</v>
      </c>
      <c r="B10" s="450" t="e">
        <f>SUM(Žádost!#REF!)</f>
        <v>#REF!</v>
      </c>
      <c r="C10" s="450" t="e">
        <f>SUM(Žádost!#REF!)</f>
        <v>#REF!</v>
      </c>
      <c r="D10" s="450"/>
      <c r="E10" s="451" t="e">
        <f>SUM(Žádost!#REF!)</f>
        <v>#REF!</v>
      </c>
      <c r="F10" s="465" t="e">
        <f>E10/C10</f>
        <v>#REF!</v>
      </c>
      <c r="G10" s="427"/>
    </row>
    <row r="11" spans="1:7" x14ac:dyDescent="0.2">
      <c r="A11" s="452" t="s">
        <v>110</v>
      </c>
      <c r="B11" s="453" t="e">
        <f>SUM(Žádost!#REF!)</f>
        <v>#REF!</v>
      </c>
      <c r="C11" s="409" t="e">
        <f>SUM(Žádost!#REF!)</f>
        <v>#REF!</v>
      </c>
      <c r="D11" s="409"/>
      <c r="E11" s="454" t="e">
        <f>SUM(Žádost!#REF!)</f>
        <v>#REF!</v>
      </c>
      <c r="F11" s="465" t="e">
        <f>E11/C11</f>
        <v>#REF!</v>
      </c>
      <c r="G11" s="427"/>
    </row>
    <row r="12" spans="1:7" x14ac:dyDescent="0.2">
      <c r="A12" s="65" t="s">
        <v>458</v>
      </c>
      <c r="B12" t="s">
        <v>458</v>
      </c>
      <c r="C12" s="95"/>
      <c r="D12" s="6"/>
      <c r="E12" t="s">
        <v>458</v>
      </c>
      <c r="F12" t="s">
        <v>458</v>
      </c>
      <c r="G12" s="6"/>
    </row>
    <row r="13" spans="1:7" x14ac:dyDescent="0.2">
      <c r="A13" s="419" t="s">
        <v>485</v>
      </c>
      <c r="B13" s="419" t="s">
        <v>235</v>
      </c>
      <c r="C13" s="392" t="s">
        <v>225</v>
      </c>
      <c r="D13" s="420"/>
      <c r="E13" s="419" t="s">
        <v>473</v>
      </c>
      <c r="F13" s="419" t="s">
        <v>262</v>
      </c>
      <c r="G13" s="429"/>
    </row>
    <row r="14" spans="1:7" x14ac:dyDescent="0.2">
      <c r="A14" s="421" t="s">
        <v>381</v>
      </c>
      <c r="B14" s="421" t="s">
        <v>449</v>
      </c>
      <c r="C14" s="461" t="s">
        <v>449</v>
      </c>
      <c r="D14" s="422"/>
      <c r="E14" s="421" t="s">
        <v>382</v>
      </c>
      <c r="F14" s="421" t="s">
        <v>451</v>
      </c>
      <c r="G14" s="429"/>
    </row>
    <row r="15" spans="1:7" x14ac:dyDescent="0.2">
      <c r="A15" s="423"/>
      <c r="B15" s="424"/>
      <c r="C15" s="462"/>
      <c r="D15" s="425"/>
      <c r="E15" s="423"/>
      <c r="F15" s="424" t="s">
        <v>453</v>
      </c>
      <c r="G15" s="429"/>
    </row>
    <row r="16" spans="1:7" x14ac:dyDescent="0.2">
      <c r="A16" s="426" t="s">
        <v>454</v>
      </c>
      <c r="B16" s="12" t="e">
        <f>SUM(B17:B18)</f>
        <v>#REF!</v>
      </c>
      <c r="C16" s="206" t="e">
        <f>SUM(C17:C18)</f>
        <v>#REF!</v>
      </c>
      <c r="D16" s="13" t="e">
        <f>C16-B16</f>
        <v>#REF!</v>
      </c>
      <c r="E16" s="93" t="e">
        <f>SUM(E17:E18)</f>
        <v>#REF!</v>
      </c>
      <c r="F16" s="464" t="e">
        <f>E16/C16</f>
        <v>#REF!</v>
      </c>
      <c r="G16" s="427"/>
    </row>
    <row r="17" spans="1:7" x14ac:dyDescent="0.2">
      <c r="A17" s="426" t="s">
        <v>455</v>
      </c>
      <c r="B17" s="12" t="e">
        <f>SUM(#REF!)</f>
        <v>#REF!</v>
      </c>
      <c r="C17" s="206" t="e">
        <f>SUM(#REF!)</f>
        <v>#REF!</v>
      </c>
      <c r="D17" s="13" t="e">
        <f>C17-B17</f>
        <v>#REF!</v>
      </c>
      <c r="E17" s="93" t="e">
        <f>SUM(#REF!)</f>
        <v>#REF!</v>
      </c>
      <c r="F17" s="464" t="e">
        <f>E17/C17</f>
        <v>#REF!</v>
      </c>
      <c r="G17" s="427"/>
    </row>
    <row r="18" spans="1:7" x14ac:dyDescent="0.2">
      <c r="A18" s="447" t="s">
        <v>456</v>
      </c>
      <c r="B18" s="28" t="e">
        <f>SUM(#REF!)</f>
        <v>#REF!</v>
      </c>
      <c r="C18" s="382" t="e">
        <f>SUM(#REF!)</f>
        <v>#REF!</v>
      </c>
      <c r="D18" s="28" t="e">
        <f>C18-B18</f>
        <v>#REF!</v>
      </c>
      <c r="E18" s="43" t="e">
        <f>SUM(#REF!)</f>
        <v>#REF!</v>
      </c>
      <c r="F18" s="448" t="e">
        <f>E18/C18</f>
        <v>#REF!</v>
      </c>
      <c r="G18" s="427"/>
    </row>
    <row r="19" spans="1:7" x14ac:dyDescent="0.2">
      <c r="A19" s="426"/>
      <c r="B19" s="12"/>
      <c r="C19" s="12"/>
      <c r="D19" s="13"/>
      <c r="E19" s="93"/>
      <c r="F19" s="464"/>
      <c r="G19" s="427"/>
    </row>
    <row r="20" spans="1:7" x14ac:dyDescent="0.2">
      <c r="A20" s="455" t="s">
        <v>457</v>
      </c>
      <c r="B20" s="238" t="e">
        <f>SUM(#REF!)</f>
        <v>#REF!</v>
      </c>
      <c r="C20" s="238" t="e">
        <f>SUM(#REF!)</f>
        <v>#REF!</v>
      </c>
      <c r="D20" s="238"/>
      <c r="E20" s="456" t="e">
        <f>SUM(#REF!)</f>
        <v>#REF!</v>
      </c>
      <c r="F20" s="464" t="e">
        <f>E20/C20</f>
        <v>#REF!</v>
      </c>
      <c r="G20" s="427"/>
    </row>
    <row r="21" spans="1:7" x14ac:dyDescent="0.2">
      <c r="A21" s="452" t="s">
        <v>191</v>
      </c>
      <c r="B21" s="409" t="e">
        <f>SUM(#REF!)</f>
        <v>#REF!</v>
      </c>
      <c r="C21" s="409" t="e">
        <f>SUM(#REF!)</f>
        <v>#REF!</v>
      </c>
      <c r="D21" s="409"/>
      <c r="E21" s="454" t="e">
        <f>SUM(#REF!)</f>
        <v>#REF!</v>
      </c>
      <c r="F21" s="464" t="e">
        <f>E21/C21</f>
        <v>#REF!</v>
      </c>
      <c r="G21" s="427"/>
    </row>
    <row r="22" spans="1:7" x14ac:dyDescent="0.2">
      <c r="A22" s="430" t="s">
        <v>458</v>
      </c>
      <c r="B22" s="38" t="s">
        <v>458</v>
      </c>
      <c r="C22" s="38" t="s">
        <v>458</v>
      </c>
      <c r="D22" s="383"/>
      <c r="E22" s="430" t="s">
        <v>458</v>
      </c>
      <c r="F22" s="38" t="s">
        <v>458</v>
      </c>
      <c r="G22" s="40"/>
    </row>
    <row r="23" spans="1:7" x14ac:dyDescent="0.2">
      <c r="A23" s="426" t="s">
        <v>263</v>
      </c>
      <c r="B23" s="12" t="e">
        <f t="shared" ref="B23:E25" si="0">B6-B16</f>
        <v>#REF!</v>
      </c>
      <c r="C23" s="206" t="e">
        <f t="shared" si="0"/>
        <v>#REF!</v>
      </c>
      <c r="D23" s="13" t="e">
        <f t="shared" si="0"/>
        <v>#REF!</v>
      </c>
      <c r="E23" s="93" t="e">
        <f t="shared" si="0"/>
        <v>#REF!</v>
      </c>
      <c r="F23" s="21" t="s">
        <v>458</v>
      </c>
      <c r="G23" s="40"/>
    </row>
    <row r="24" spans="1:7" x14ac:dyDescent="0.2">
      <c r="A24" s="426" t="s">
        <v>19</v>
      </c>
      <c r="B24" s="12" t="e">
        <f t="shared" si="0"/>
        <v>#REF!</v>
      </c>
      <c r="C24" s="206" t="e">
        <f t="shared" si="0"/>
        <v>#REF!</v>
      </c>
      <c r="D24" s="13" t="e">
        <f t="shared" si="0"/>
        <v>#REF!</v>
      </c>
      <c r="E24" s="12" t="e">
        <f t="shared" si="0"/>
        <v>#REF!</v>
      </c>
      <c r="F24" s="21"/>
      <c r="G24" s="40"/>
    </row>
    <row r="25" spans="1:7" x14ac:dyDescent="0.2">
      <c r="A25" s="447" t="s">
        <v>199</v>
      </c>
      <c r="B25" s="28" t="e">
        <f t="shared" si="0"/>
        <v>#REF!</v>
      </c>
      <c r="C25" s="382" t="e">
        <f t="shared" si="0"/>
        <v>#REF!</v>
      </c>
      <c r="D25" s="28" t="e">
        <f t="shared" si="0"/>
        <v>#REF!</v>
      </c>
      <c r="E25" s="28" t="e">
        <f t="shared" si="0"/>
        <v>#REF!</v>
      </c>
      <c r="F25" s="381"/>
      <c r="G25" s="40"/>
    </row>
    <row r="26" spans="1:7" x14ac:dyDescent="0.2">
      <c r="A26" s="431"/>
      <c r="B26" s="384"/>
      <c r="C26" s="384"/>
      <c r="D26" s="384"/>
      <c r="E26" s="384"/>
      <c r="F26" s="383"/>
      <c r="G26" s="40"/>
    </row>
    <row r="27" spans="1:7" x14ac:dyDescent="0.2">
      <c r="A27" s="38"/>
      <c r="B27" s="38"/>
      <c r="C27" s="432" t="s">
        <v>79</v>
      </c>
      <c r="D27" s="38"/>
      <c r="E27" s="38"/>
      <c r="F27" s="433" t="s">
        <v>130</v>
      </c>
      <c r="G27" s="40"/>
    </row>
    <row r="28" spans="1:7" x14ac:dyDescent="0.2">
      <c r="A28" s="455" t="s">
        <v>131</v>
      </c>
      <c r="B28" s="238" t="e">
        <f>B10-B20</f>
        <v>#REF!</v>
      </c>
      <c r="C28" s="238" t="e">
        <f>C20-C10</f>
        <v>#REF!</v>
      </c>
      <c r="D28" s="348"/>
      <c r="E28" s="456" t="e">
        <f>E10-E20</f>
        <v>#REF!</v>
      </c>
      <c r="F28" s="12" t="e">
        <f>C28+E28</f>
        <v>#REF!</v>
      </c>
      <c r="G28" s="40"/>
    </row>
    <row r="29" spans="1:7" x14ac:dyDescent="0.2">
      <c r="A29" s="38"/>
      <c r="B29" s="38"/>
      <c r="C29" s="38"/>
      <c r="D29" s="38"/>
      <c r="E29" s="38"/>
      <c r="F29" s="38"/>
      <c r="G29" s="40"/>
    </row>
    <row r="30" spans="1:7" x14ac:dyDescent="0.2">
      <c r="A30" s="452" t="s">
        <v>108</v>
      </c>
      <c r="B30" s="409" t="e">
        <f>B11-B21</f>
        <v>#REF!</v>
      </c>
      <c r="C30" s="409" t="e">
        <f>C21-C11</f>
        <v>#REF!</v>
      </c>
      <c r="D30" s="457"/>
      <c r="E30" s="454" t="e">
        <f>E11-E21</f>
        <v>#REF!</v>
      </c>
      <c r="F30" s="12" t="e">
        <f>C30+E30</f>
        <v>#REF!</v>
      </c>
      <c r="G30" s="40"/>
    </row>
    <row r="31" spans="1:7" x14ac:dyDescent="0.2">
      <c r="A31" s="42"/>
      <c r="B31" s="31"/>
      <c r="C31" s="31"/>
      <c r="D31" s="40"/>
      <c r="E31" s="44"/>
      <c r="F31" s="40"/>
      <c r="G31" s="40"/>
    </row>
    <row r="32" spans="1:7" x14ac:dyDescent="0.2">
      <c r="A32" s="42"/>
      <c r="B32" s="31"/>
      <c r="C32" s="31"/>
      <c r="D32" s="40"/>
      <c r="E32" s="44"/>
      <c r="F32" s="40"/>
      <c r="G32" s="40"/>
    </row>
    <row r="34" spans="1:13" x14ac:dyDescent="0.2">
      <c r="A34" s="65" t="s">
        <v>304</v>
      </c>
    </row>
    <row r="35" spans="1:13" x14ac:dyDescent="0.2">
      <c r="A35" t="s">
        <v>106</v>
      </c>
      <c r="E35" s="237"/>
      <c r="L35" s="4"/>
      <c r="M35" s="4"/>
    </row>
    <row r="36" spans="1:13" x14ac:dyDescent="0.2">
      <c r="A36" t="s">
        <v>247</v>
      </c>
      <c r="E36" s="237" t="e">
        <f>SUM(Žádost!#REF!)</f>
        <v>#REF!</v>
      </c>
      <c r="F36" s="4"/>
      <c r="G36" s="4"/>
      <c r="L36" s="4"/>
    </row>
    <row r="37" spans="1:13" x14ac:dyDescent="0.2">
      <c r="A37" s="678" t="s">
        <v>248</v>
      </c>
      <c r="E37" s="237" t="e">
        <f>E10</f>
        <v>#REF!</v>
      </c>
      <c r="F37" s="4"/>
      <c r="G37" s="4"/>
      <c r="L37" s="4"/>
    </row>
    <row r="38" spans="1:13" x14ac:dyDescent="0.2">
      <c r="A38" t="s">
        <v>249</v>
      </c>
      <c r="E38" s="237" t="e">
        <f>E20</f>
        <v>#REF!</v>
      </c>
      <c r="F38" s="4"/>
      <c r="G38" s="4"/>
      <c r="L38" s="4"/>
    </row>
    <row r="39" spans="1:13" x14ac:dyDescent="0.2">
      <c r="A39" t="s">
        <v>250</v>
      </c>
      <c r="E39" s="458" t="e">
        <f>E36+E37-E38</f>
        <v>#REF!</v>
      </c>
      <c r="F39" s="4"/>
      <c r="G39" s="4"/>
      <c r="L39" s="4"/>
    </row>
    <row r="40" spans="1:13" hidden="1" x14ac:dyDescent="0.2">
      <c r="E40" s="88"/>
      <c r="F40" s="4"/>
      <c r="G40" s="4"/>
      <c r="L40" s="4"/>
    </row>
    <row r="41" spans="1:13" hidden="1" x14ac:dyDescent="0.2">
      <c r="E41" s="88"/>
      <c r="F41" s="4"/>
      <c r="G41" s="4"/>
      <c r="L41" s="4"/>
    </row>
    <row r="42" spans="1:13" hidden="1" x14ac:dyDescent="0.2">
      <c r="E42" s="88"/>
      <c r="F42" s="4"/>
      <c r="G42" s="4"/>
      <c r="L42" s="4"/>
    </row>
    <row r="43" spans="1:13" hidden="1" x14ac:dyDescent="0.2">
      <c r="E43" s="88"/>
      <c r="F43" s="4"/>
      <c r="G43" s="4"/>
      <c r="L43" s="4"/>
    </row>
    <row r="44" spans="1:13" hidden="1" x14ac:dyDescent="0.2">
      <c r="E44" s="88"/>
      <c r="F44" s="4"/>
      <c r="G44" s="4"/>
      <c r="L44" s="4"/>
    </row>
    <row r="45" spans="1:13" x14ac:dyDescent="0.2">
      <c r="E45" s="4"/>
      <c r="L45" s="4"/>
    </row>
    <row r="46" spans="1:13" x14ac:dyDescent="0.2">
      <c r="A46" s="65" t="s">
        <v>190</v>
      </c>
      <c r="E46" s="4"/>
      <c r="L46" s="4"/>
    </row>
    <row r="47" spans="1:13" x14ac:dyDescent="0.2">
      <c r="A47" t="s">
        <v>106</v>
      </c>
      <c r="E47" s="236"/>
      <c r="L47" s="4"/>
      <c r="M47" s="4"/>
    </row>
    <row r="48" spans="1:13" x14ac:dyDescent="0.2">
      <c r="A48" t="s">
        <v>247</v>
      </c>
      <c r="E48" s="236" t="e">
        <f>SUM(Žádost!#REF!)</f>
        <v>#REF!</v>
      </c>
      <c r="F48" s="4"/>
      <c r="G48" s="4"/>
      <c r="L48" s="4"/>
    </row>
    <row r="49" spans="1:12" x14ac:dyDescent="0.2">
      <c r="A49" s="678" t="s">
        <v>248</v>
      </c>
      <c r="E49" s="236" t="e">
        <f>E11</f>
        <v>#REF!</v>
      </c>
      <c r="F49" s="4"/>
      <c r="G49" s="4"/>
      <c r="L49" s="4"/>
    </row>
    <row r="50" spans="1:12" x14ac:dyDescent="0.2">
      <c r="A50" t="s">
        <v>249</v>
      </c>
      <c r="E50" s="236" t="e">
        <f>E21</f>
        <v>#REF!</v>
      </c>
      <c r="F50" s="4"/>
      <c r="G50" s="4"/>
      <c r="L50" s="4"/>
    </row>
    <row r="51" spans="1:12" x14ac:dyDescent="0.2">
      <c r="A51" t="s">
        <v>250</v>
      </c>
      <c r="E51" s="459" t="e">
        <f>E48+E49-E50</f>
        <v>#REF!</v>
      </c>
      <c r="F51" s="4"/>
      <c r="G51" s="4"/>
      <c r="L51" s="4"/>
    </row>
    <row r="52" spans="1:12" hidden="1" x14ac:dyDescent="0.2">
      <c r="E52" s="88"/>
      <c r="F52" s="4"/>
      <c r="G52" s="4"/>
      <c r="L52" s="4"/>
    </row>
    <row r="53" spans="1:12" x14ac:dyDescent="0.2">
      <c r="E53" s="4"/>
    </row>
    <row r="54" spans="1:12" x14ac:dyDescent="0.2">
      <c r="A54" s="65" t="s">
        <v>154</v>
      </c>
      <c r="E54" s="4"/>
    </row>
    <row r="55" spans="1:12" x14ac:dyDescent="0.2">
      <c r="A55" s="65"/>
      <c r="E55" s="434" t="s">
        <v>155</v>
      </c>
      <c r="F55" s="435" t="s">
        <v>374</v>
      </c>
      <c r="G55" s="435" t="s">
        <v>12</v>
      </c>
      <c r="H55" s="486" t="s">
        <v>13</v>
      </c>
    </row>
    <row r="56" spans="1:12" x14ac:dyDescent="0.2">
      <c r="A56" t="s">
        <v>107</v>
      </c>
      <c r="E56" s="436">
        <f>SUM(F56,G56,H56)</f>
        <v>74131</v>
      </c>
      <c r="F56" s="460">
        <v>9327</v>
      </c>
      <c r="G56" s="437">
        <v>8322</v>
      </c>
      <c r="H56" s="52">
        <v>56482</v>
      </c>
    </row>
    <row r="57" spans="1:12" x14ac:dyDescent="0.2">
      <c r="A57" t="s">
        <v>331</v>
      </c>
      <c r="E57" s="436" t="e">
        <f>SUM(F57,G57,H57)</f>
        <v>#REF!</v>
      </c>
      <c r="F57" s="460" t="e">
        <f>SUM(Žádost!#REF!)</f>
        <v>#REF!</v>
      </c>
      <c r="G57" s="437" t="e">
        <f>SUM(Žádost!#REF!)</f>
        <v>#REF!</v>
      </c>
      <c r="H57" s="52">
        <v>35731</v>
      </c>
    </row>
    <row r="58" spans="1:12" x14ac:dyDescent="0.2">
      <c r="A58" t="s">
        <v>14</v>
      </c>
      <c r="E58" s="436" t="e">
        <f>SUM(F58,G58,H58)</f>
        <v>#REF!</v>
      </c>
      <c r="F58" s="410" t="e">
        <f>SUM(Žádost!#REF!)-F57</f>
        <v>#REF!</v>
      </c>
      <c r="G58" s="437" t="e">
        <f>SUM(Žádost!#REF!)-G57</f>
        <v>#REF!</v>
      </c>
      <c r="H58" s="52">
        <v>17792</v>
      </c>
    </row>
    <row r="59" spans="1:12" hidden="1" x14ac:dyDescent="0.2">
      <c r="A59" t="s">
        <v>14</v>
      </c>
      <c r="E59" s="436">
        <v>0</v>
      </c>
      <c r="F59" s="460">
        <v>0</v>
      </c>
      <c r="G59" s="437">
        <v>0</v>
      </c>
      <c r="H59" s="52">
        <f>E59-F59-G59</f>
        <v>0</v>
      </c>
    </row>
    <row r="60" spans="1:12" hidden="1" x14ac:dyDescent="0.2">
      <c r="A60" t="s">
        <v>14</v>
      </c>
      <c r="E60" s="436">
        <v>0</v>
      </c>
      <c r="F60" s="460">
        <v>0</v>
      </c>
      <c r="G60" s="437">
        <v>0</v>
      </c>
      <c r="H60" s="52">
        <f>E60-F60-G60</f>
        <v>0</v>
      </c>
    </row>
    <row r="61" spans="1:12" x14ac:dyDescent="0.2">
      <c r="A61" t="s">
        <v>251</v>
      </c>
      <c r="E61" s="438" t="e">
        <f>E57+E58</f>
        <v>#REF!</v>
      </c>
      <c r="F61" s="440" t="e">
        <f>F57+F58</f>
        <v>#REF!</v>
      </c>
      <c r="G61" s="439" t="e">
        <f>G57+G58</f>
        <v>#REF!</v>
      </c>
      <c r="H61" s="88">
        <f>H57+H58</f>
        <v>53523</v>
      </c>
    </row>
    <row r="62" spans="1:12" x14ac:dyDescent="0.2">
      <c r="E62" s="88"/>
      <c r="F62" s="88"/>
      <c r="G62" s="88"/>
      <c r="H62" s="88"/>
    </row>
    <row r="63" spans="1:12" x14ac:dyDescent="0.2">
      <c r="A63" t="s">
        <v>441</v>
      </c>
      <c r="E63" s="438" t="e">
        <f>E56-E57-E58</f>
        <v>#REF!</v>
      </c>
      <c r="F63" s="440" t="e">
        <f>F56-F61</f>
        <v>#REF!</v>
      </c>
      <c r="G63" s="439" t="e">
        <f>G56-G61</f>
        <v>#REF!</v>
      </c>
      <c r="H63" s="88">
        <f>H56-H61</f>
        <v>2959</v>
      </c>
    </row>
    <row r="64" spans="1:12" x14ac:dyDescent="0.2">
      <c r="E64" s="52"/>
    </row>
    <row r="65" spans="1:5" x14ac:dyDescent="0.2">
      <c r="A65" s="65" t="s">
        <v>15</v>
      </c>
      <c r="E65" s="441"/>
    </row>
    <row r="66" spans="1:5" x14ac:dyDescent="0.2">
      <c r="A66" s="65" t="s">
        <v>16</v>
      </c>
      <c r="E66" s="52"/>
    </row>
    <row r="67" spans="1:5" x14ac:dyDescent="0.2">
      <c r="A67" t="s">
        <v>106</v>
      </c>
      <c r="E67" s="410"/>
    </row>
    <row r="68" spans="1:5" x14ac:dyDescent="0.2">
      <c r="A68" t="s">
        <v>252</v>
      </c>
      <c r="E68" s="410" t="e">
        <f>SUM(Žádost!#REF!)</f>
        <v>#REF!</v>
      </c>
    </row>
    <row r="69" spans="1:5" x14ac:dyDescent="0.2">
      <c r="A69" s="678" t="s">
        <v>248</v>
      </c>
      <c r="E69" s="410" t="e">
        <f>SUM('ÚZ 5 2006'!H22)</f>
        <v>#REF!</v>
      </c>
    </row>
    <row r="70" spans="1:5" x14ac:dyDescent="0.2">
      <c r="A70" t="s">
        <v>249</v>
      </c>
      <c r="E70" s="410" t="e">
        <f>SUM('ÚZ 5 2006'!H35)</f>
        <v>#REF!</v>
      </c>
    </row>
    <row r="71" spans="1:5" x14ac:dyDescent="0.2">
      <c r="A71" t="s">
        <v>250</v>
      </c>
      <c r="E71" s="440" t="e">
        <f>E69-E70</f>
        <v>#REF!</v>
      </c>
    </row>
    <row r="86" spans="1:5" x14ac:dyDescent="0.2">
      <c r="A86" s="65" t="s">
        <v>392</v>
      </c>
    </row>
    <row r="88" spans="1:5" x14ac:dyDescent="0.2">
      <c r="A88" t="s">
        <v>475</v>
      </c>
      <c r="E88" s="4" t="e">
        <f>SUM(Žádost!#REF!)</f>
        <v>#REF!</v>
      </c>
    </row>
    <row r="89" spans="1:5" x14ac:dyDescent="0.2">
      <c r="A89" t="s">
        <v>179</v>
      </c>
      <c r="E89" s="4"/>
    </row>
    <row r="90" spans="1:5" x14ac:dyDescent="0.2">
      <c r="A90" t="s">
        <v>332</v>
      </c>
      <c r="E90" s="4" t="e">
        <f>SUM(Žádost!#REF!,Žádost!#REF!)</f>
        <v>#REF!</v>
      </c>
    </row>
    <row r="91" spans="1:5" x14ac:dyDescent="0.2">
      <c r="A91" t="s">
        <v>333</v>
      </c>
      <c r="E91" s="4" t="e">
        <f>E88-E90</f>
        <v>#REF!</v>
      </c>
    </row>
    <row r="92" spans="1:5" x14ac:dyDescent="0.2">
      <c r="E92" s="4"/>
    </row>
    <row r="93" spans="1:5" x14ac:dyDescent="0.2">
      <c r="A93" t="s">
        <v>178</v>
      </c>
      <c r="E93" s="4" t="e">
        <f>SUM(Žádost!#REF!)</f>
        <v>#REF!</v>
      </c>
    </row>
    <row r="94" spans="1:5" x14ac:dyDescent="0.2">
      <c r="E94" s="4"/>
    </row>
    <row r="95" spans="1:5" x14ac:dyDescent="0.2">
      <c r="A95" t="s">
        <v>180</v>
      </c>
      <c r="E95" s="4" t="e">
        <f>SUM(#REF!)</f>
        <v>#REF!</v>
      </c>
    </row>
    <row r="96" spans="1:5" x14ac:dyDescent="0.2">
      <c r="A96" t="s">
        <v>179</v>
      </c>
      <c r="E96" s="4"/>
    </row>
    <row r="97" spans="1:5" x14ac:dyDescent="0.2">
      <c r="A97" t="s">
        <v>181</v>
      </c>
      <c r="E97" s="4" t="e">
        <f>SUM(#REF!,#REF!,#REF!,#REF!)</f>
        <v>#REF!</v>
      </c>
    </row>
    <row r="98" spans="1:5" x14ac:dyDescent="0.2">
      <c r="A98" t="s">
        <v>122</v>
      </c>
      <c r="E98" s="4"/>
    </row>
    <row r="99" spans="1:5" x14ac:dyDescent="0.2">
      <c r="A99" t="s">
        <v>35</v>
      </c>
      <c r="E99" s="4" t="e">
        <f>SUM(#REF!)</f>
        <v>#REF!</v>
      </c>
    </row>
    <row r="100" spans="1:5" x14ac:dyDescent="0.2">
      <c r="E100" s="4"/>
    </row>
    <row r="101" spans="1:5" x14ac:dyDescent="0.2">
      <c r="A101" t="s">
        <v>37</v>
      </c>
      <c r="E101" s="4" t="e">
        <f>E93-E97-E99</f>
        <v>#REF!</v>
      </c>
    </row>
    <row r="102" spans="1:5" x14ac:dyDescent="0.2">
      <c r="E102" s="4"/>
    </row>
    <row r="103" spans="1:5" x14ac:dyDescent="0.2">
      <c r="A103" s="442" t="s">
        <v>302</v>
      </c>
      <c r="E103" s="4" t="e">
        <f>SUM(#REF!)</f>
        <v>#REF!</v>
      </c>
    </row>
    <row r="104" spans="1:5" x14ac:dyDescent="0.2">
      <c r="E104" s="4"/>
    </row>
    <row r="105" spans="1:5" x14ac:dyDescent="0.2">
      <c r="A105" t="s">
        <v>393</v>
      </c>
      <c r="E105" s="4"/>
    </row>
  </sheetData>
  <phoneticPr fontId="0" type="noConversion"/>
  <pageMargins left="0.78740157499999996" right="0.78740157499999996" top="0.984251969" bottom="0.984251969" header="0.4921259845" footer="0.4921259845"/>
  <pageSetup paperSize="9" scale="75" orientation="portrait" r:id="rId1"/>
  <headerFooter alignWithMargins="0">
    <oddHeader>&amp;LMěsto Ostrov&amp;RStav ke dni &amp;D</oddHeader>
    <oddFooter>&amp;LPlnění rozpočtu města za 1.pololetí 2006
&amp;C&amp;P&amp;RZpracoval: OF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C64"/>
  <sheetViews>
    <sheetView workbookViewId="0"/>
  </sheetViews>
  <sheetFormatPr defaultRowHeight="12.75" x14ac:dyDescent="0.2"/>
  <cols>
    <col min="6" max="6" width="95" bestFit="1" customWidth="1"/>
    <col min="7" max="7" width="11.140625" hidden="1" customWidth="1"/>
    <col min="8" max="9" width="0" hidden="1" customWidth="1"/>
    <col min="10" max="10" width="12.28515625" hidden="1" customWidth="1"/>
    <col min="11" max="11" width="0" hidden="1" customWidth="1"/>
    <col min="12" max="12" width="10.5703125" bestFit="1" customWidth="1"/>
    <col min="13" max="13" width="10" hidden="1" customWidth="1"/>
    <col min="14" max="14" width="12" hidden="1" customWidth="1"/>
    <col min="15" max="15" width="9.85546875" bestFit="1" customWidth="1"/>
    <col min="16" max="16" width="10" hidden="1" customWidth="1"/>
    <col min="17" max="17" width="12" hidden="1" customWidth="1"/>
    <col min="18" max="18" width="10.5703125" hidden="1" customWidth="1"/>
    <col min="19" max="19" width="10" hidden="1" customWidth="1"/>
    <col min="20" max="20" width="9.7109375" hidden="1" customWidth="1"/>
    <col min="21" max="22" width="0" hidden="1" customWidth="1"/>
    <col min="23" max="23" width="10.5703125" hidden="1" customWidth="1"/>
    <col min="24" max="26" width="0" hidden="1" customWidth="1"/>
    <col min="27" max="27" width="12.5703125" customWidth="1"/>
    <col min="28" max="28" width="9.28515625" bestFit="1" customWidth="1"/>
    <col min="29" max="29" width="11" bestFit="1" customWidth="1"/>
  </cols>
  <sheetData>
    <row r="1" spans="1:29" ht="15" x14ac:dyDescent="0.25">
      <c r="A1" s="256" t="s">
        <v>86</v>
      </c>
    </row>
    <row r="3" spans="1:29" x14ac:dyDescent="0.2">
      <c r="AA3" s="377" t="e">
        <f>AA4/O7</f>
        <v>#DIV/0!</v>
      </c>
      <c r="AB3" s="377" t="e">
        <f>AB4/O7</f>
        <v>#DIV/0!</v>
      </c>
      <c r="AC3" s="377" t="e">
        <f>AC4/O7</f>
        <v>#DIV/0!</v>
      </c>
    </row>
    <row r="4" spans="1:29" ht="15.75" thickBot="1" x14ac:dyDescent="0.3">
      <c r="F4" s="1"/>
      <c r="G4" s="1"/>
      <c r="H4" s="3"/>
      <c r="J4" s="10" t="s">
        <v>25</v>
      </c>
      <c r="K4" s="10" t="s">
        <v>25</v>
      </c>
      <c r="L4" s="10"/>
      <c r="M4" s="54" t="s">
        <v>233</v>
      </c>
      <c r="N4" s="1" t="s">
        <v>233</v>
      </c>
      <c r="O4" s="54"/>
      <c r="P4" s="54" t="s">
        <v>233</v>
      </c>
      <c r="Q4" s="1" t="s">
        <v>233</v>
      </c>
      <c r="R4" s="210" t="s">
        <v>2</v>
      </c>
      <c r="S4" s="54" t="s">
        <v>233</v>
      </c>
      <c r="T4" s="1" t="s">
        <v>233</v>
      </c>
      <c r="U4" s="232" t="s">
        <v>2</v>
      </c>
      <c r="V4" s="210" t="s">
        <v>25</v>
      </c>
      <c r="W4" s="210" t="s">
        <v>427</v>
      </c>
      <c r="X4" s="210" t="s">
        <v>471</v>
      </c>
      <c r="AA4" s="307"/>
      <c r="AB4" s="307"/>
      <c r="AC4" s="307"/>
    </row>
    <row r="5" spans="1:29" ht="15.75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308" t="s">
        <v>291</v>
      </c>
      <c r="AB5" s="308" t="s">
        <v>404</v>
      </c>
      <c r="AC5" s="308" t="s">
        <v>405</v>
      </c>
    </row>
    <row r="6" spans="1:29" ht="15" x14ac:dyDescent="0.25">
      <c r="A6" s="375"/>
      <c r="B6" s="315"/>
      <c r="C6" s="316"/>
      <c r="D6" s="316"/>
      <c r="E6" s="317"/>
      <c r="F6" s="318" t="s">
        <v>193</v>
      </c>
      <c r="G6" s="316"/>
      <c r="H6" s="319"/>
      <c r="I6" s="319"/>
      <c r="J6" s="319"/>
      <c r="K6" s="319"/>
      <c r="L6" s="320">
        <f>SUM(L8,L31,L53,L58)</f>
        <v>0</v>
      </c>
      <c r="M6" s="321"/>
      <c r="N6" s="322"/>
      <c r="O6" s="320">
        <f>SUM(O8,O31,O53,O58)</f>
        <v>0</v>
      </c>
      <c r="P6" s="321"/>
      <c r="Q6" s="322"/>
      <c r="R6" s="323"/>
      <c r="S6" s="323"/>
      <c r="T6" s="324"/>
      <c r="U6" s="325"/>
      <c r="V6" s="323"/>
      <c r="W6" s="321"/>
      <c r="X6" s="321"/>
      <c r="Y6" s="326"/>
      <c r="Z6" s="319"/>
      <c r="AA6" s="320">
        <f>SUM(AA8,AA31,AA53,AA58)</f>
        <v>0</v>
      </c>
      <c r="AB6" s="320">
        <f>SUM(AB8,AB31,AB53,AB58)</f>
        <v>0</v>
      </c>
      <c r="AC6" s="327">
        <f>SUM(AC8,AC31,AC53,AC58)</f>
        <v>0</v>
      </c>
    </row>
    <row r="7" spans="1:29" ht="15" x14ac:dyDescent="0.25">
      <c r="A7" s="376"/>
      <c r="B7" s="328"/>
      <c r="C7" s="26"/>
      <c r="D7" s="26"/>
      <c r="E7" s="329"/>
      <c r="F7" s="330" t="s">
        <v>275</v>
      </c>
      <c r="G7" s="331"/>
      <c r="H7" s="331"/>
      <c r="I7" s="331"/>
      <c r="J7" s="331"/>
      <c r="K7" s="331"/>
      <c r="L7" s="332">
        <f>SUM(L21:L24,L37:L42,L56,L63)</f>
        <v>0</v>
      </c>
      <c r="M7" s="333"/>
      <c r="N7" s="334"/>
      <c r="O7" s="332">
        <f>SUM(O21:O24,O37:O42,O56,O63)</f>
        <v>0</v>
      </c>
      <c r="P7" s="22"/>
      <c r="Q7" s="32"/>
      <c r="R7" s="20"/>
      <c r="S7" s="20"/>
      <c r="T7" s="335"/>
      <c r="U7" s="336"/>
      <c r="V7" s="20"/>
      <c r="W7" s="22"/>
      <c r="X7" s="22"/>
      <c r="Y7" s="337"/>
      <c r="Z7" s="179"/>
      <c r="AA7" s="338"/>
      <c r="AB7" s="338"/>
      <c r="AC7" s="339"/>
    </row>
    <row r="8" spans="1:29" ht="15" x14ac:dyDescent="0.25">
      <c r="A8" s="311"/>
      <c r="B8" s="340">
        <v>3111</v>
      </c>
      <c r="C8" s="23"/>
      <c r="D8" s="27"/>
      <c r="E8" s="27"/>
      <c r="F8" s="16" t="s">
        <v>425</v>
      </c>
      <c r="G8" s="17">
        <f>SUM(G9:G29)</f>
        <v>11368</v>
      </c>
      <c r="H8" s="17">
        <f>SUM(H9:H29)</f>
        <v>2075</v>
      </c>
      <c r="I8" s="17">
        <f>SUM(I9:I29)</f>
        <v>11649</v>
      </c>
      <c r="J8" s="17">
        <f>SUM(J9:J29)</f>
        <v>5578</v>
      </c>
      <c r="K8" s="17">
        <f>SUM(K9:K29)</f>
        <v>11649</v>
      </c>
      <c r="L8" s="17">
        <f t="shared" ref="L8:V8" si="0">SUM(L9:L30)</f>
        <v>0</v>
      </c>
      <c r="M8" s="17">
        <f t="shared" si="0"/>
        <v>0</v>
      </c>
      <c r="N8" s="124">
        <f t="shared" si="0"/>
        <v>0</v>
      </c>
      <c r="O8" s="17">
        <f t="shared" si="0"/>
        <v>0</v>
      </c>
      <c r="P8" s="17">
        <f t="shared" si="0"/>
        <v>0</v>
      </c>
      <c r="Q8" s="124">
        <f t="shared" si="0"/>
        <v>0</v>
      </c>
      <c r="R8" s="17">
        <f t="shared" si="0"/>
        <v>1946</v>
      </c>
      <c r="S8" s="17">
        <f t="shared" si="0"/>
        <v>1946</v>
      </c>
      <c r="T8" s="124">
        <f t="shared" si="0"/>
        <v>0</v>
      </c>
      <c r="U8" s="17">
        <f t="shared" si="0"/>
        <v>75</v>
      </c>
      <c r="V8" s="17">
        <f t="shared" si="0"/>
        <v>2021</v>
      </c>
      <c r="W8" s="341" t="e">
        <f>R8/O8</f>
        <v>#DIV/0!</v>
      </c>
      <c r="X8" s="341" t="e">
        <f>V8/O8</f>
        <v>#DIV/0!</v>
      </c>
      <c r="Y8" s="17">
        <f>O8-V8</f>
        <v>-2021</v>
      </c>
      <c r="Z8" s="268"/>
      <c r="AA8" s="17">
        <f>SUM(AA9:AA30)</f>
        <v>0</v>
      </c>
      <c r="AB8" s="17">
        <f>SUM(AB9:AB30)</f>
        <v>0</v>
      </c>
      <c r="AC8" s="304">
        <f>SUM(AC9:AC30)</f>
        <v>0</v>
      </c>
    </row>
    <row r="9" spans="1:29" ht="15" x14ac:dyDescent="0.25">
      <c r="A9" s="312" t="s">
        <v>7</v>
      </c>
      <c r="B9" s="342">
        <v>3111</v>
      </c>
      <c r="C9" s="172">
        <v>5171</v>
      </c>
      <c r="D9" s="173">
        <v>1402</v>
      </c>
      <c r="E9" s="173"/>
      <c r="F9" s="170" t="s">
        <v>342</v>
      </c>
      <c r="G9" s="175">
        <v>175</v>
      </c>
      <c r="H9" s="164">
        <v>150</v>
      </c>
      <c r="I9" s="165">
        <v>150</v>
      </c>
      <c r="J9" s="168">
        <v>5</v>
      </c>
      <c r="K9" s="168">
        <v>150</v>
      </c>
      <c r="L9" s="175"/>
      <c r="M9" s="30"/>
      <c r="N9" s="275"/>
      <c r="O9" s="18">
        <f>L9</f>
        <v>0</v>
      </c>
      <c r="P9" s="275"/>
      <c r="Q9" s="21"/>
      <c r="R9" s="21"/>
      <c r="S9" s="21"/>
      <c r="T9" s="21"/>
      <c r="U9" s="21">
        <f>5+13</f>
        <v>18</v>
      </c>
      <c r="V9" s="21">
        <f>R9+U9</f>
        <v>18</v>
      </c>
      <c r="W9" s="249" t="e">
        <f>R9/O9</f>
        <v>#DIV/0!</v>
      </c>
      <c r="X9" s="249" t="e">
        <f>V9/O9</f>
        <v>#DIV/0!</v>
      </c>
      <c r="Y9" s="12">
        <f>O9-V9</f>
        <v>-18</v>
      </c>
      <c r="Z9" s="268"/>
      <c r="AA9" s="21"/>
      <c r="AB9" s="21"/>
      <c r="AC9" s="343"/>
    </row>
    <row r="10" spans="1:29" ht="15" x14ac:dyDescent="0.25">
      <c r="A10" s="312" t="s">
        <v>7</v>
      </c>
      <c r="B10" s="342">
        <v>3111</v>
      </c>
      <c r="C10" s="172">
        <v>5171</v>
      </c>
      <c r="D10" s="173">
        <v>1403</v>
      </c>
      <c r="E10" s="173"/>
      <c r="F10" s="170" t="s">
        <v>357</v>
      </c>
      <c r="G10" s="175">
        <v>56</v>
      </c>
      <c r="H10" s="164">
        <v>110</v>
      </c>
      <c r="I10" s="165">
        <v>365</v>
      </c>
      <c r="J10" s="168">
        <v>23</v>
      </c>
      <c r="K10" s="168">
        <v>365</v>
      </c>
      <c r="L10" s="175"/>
      <c r="M10" s="30"/>
      <c r="N10" s="275"/>
      <c r="O10" s="18">
        <f>L10</f>
        <v>0</v>
      </c>
      <c r="P10" s="275"/>
      <c r="Q10" s="21"/>
      <c r="R10" s="21"/>
      <c r="S10" s="21"/>
      <c r="T10" s="21"/>
      <c r="U10" s="21">
        <f>21</f>
        <v>21</v>
      </c>
      <c r="V10" s="21">
        <f>R10+U10</f>
        <v>21</v>
      </c>
      <c r="W10" s="249" t="e">
        <f>R10/O10</f>
        <v>#DIV/0!</v>
      </c>
      <c r="X10" s="249" t="e">
        <f>V10/O10</f>
        <v>#DIV/0!</v>
      </c>
      <c r="Y10" s="12">
        <f>O10-V10</f>
        <v>-21</v>
      </c>
      <c r="Z10" s="268"/>
      <c r="AA10" s="21"/>
      <c r="AB10" s="21"/>
      <c r="AC10" s="343"/>
    </row>
    <row r="11" spans="1:29" ht="15" x14ac:dyDescent="0.25">
      <c r="A11" s="312" t="s">
        <v>7</v>
      </c>
      <c r="B11" s="342">
        <v>3111</v>
      </c>
      <c r="C11" s="172">
        <v>5171</v>
      </c>
      <c r="D11" s="173">
        <v>1405</v>
      </c>
      <c r="E11" s="173"/>
      <c r="F11" s="170" t="s">
        <v>358</v>
      </c>
      <c r="G11" s="175">
        <v>143</v>
      </c>
      <c r="H11" s="164">
        <v>100</v>
      </c>
      <c r="I11" s="165">
        <v>100</v>
      </c>
      <c r="J11" s="168">
        <v>66</v>
      </c>
      <c r="K11" s="168">
        <v>100</v>
      </c>
      <c r="L11" s="175"/>
      <c r="M11" s="30"/>
      <c r="N11" s="275"/>
      <c r="O11" s="18">
        <f>L11</f>
        <v>0</v>
      </c>
      <c r="P11" s="275"/>
      <c r="Q11" s="21"/>
      <c r="R11" s="21"/>
      <c r="S11" s="21"/>
      <c r="T11" s="21"/>
      <c r="U11" s="21"/>
      <c r="V11" s="21">
        <f>R11+U11</f>
        <v>0</v>
      </c>
      <c r="W11" s="249" t="e">
        <f>R11/O11</f>
        <v>#DIV/0!</v>
      </c>
      <c r="X11" s="249" t="e">
        <f>V11/O11</f>
        <v>#DIV/0!</v>
      </c>
      <c r="Y11" s="12">
        <f>O11-V11</f>
        <v>0</v>
      </c>
      <c r="Z11" s="268"/>
      <c r="AA11" s="21"/>
      <c r="AB11" s="21"/>
      <c r="AC11" s="343"/>
    </row>
    <row r="12" spans="1:29" ht="15" x14ac:dyDescent="0.25">
      <c r="A12" s="312" t="s">
        <v>7</v>
      </c>
      <c r="B12" s="342">
        <v>3111</v>
      </c>
      <c r="C12" s="172">
        <v>5171</v>
      </c>
      <c r="D12" s="173">
        <v>1407</v>
      </c>
      <c r="E12" s="173"/>
      <c r="F12" s="170" t="s">
        <v>359</v>
      </c>
      <c r="G12" s="175">
        <v>234</v>
      </c>
      <c r="H12" s="164">
        <v>100</v>
      </c>
      <c r="I12" s="165">
        <v>100</v>
      </c>
      <c r="J12" s="168">
        <v>28</v>
      </c>
      <c r="K12" s="178">
        <v>100</v>
      </c>
      <c r="L12" s="164"/>
      <c r="M12" s="30"/>
      <c r="N12" s="275"/>
      <c r="O12" s="18">
        <f>L12</f>
        <v>0</v>
      </c>
      <c r="P12" s="275"/>
      <c r="Q12" s="21"/>
      <c r="R12" s="21"/>
      <c r="S12" s="21"/>
      <c r="T12" s="21"/>
      <c r="U12" s="21">
        <f>23+11+2</f>
        <v>36</v>
      </c>
      <c r="V12" s="21">
        <f>R12+U12</f>
        <v>36</v>
      </c>
      <c r="W12" s="249" t="e">
        <f>R12/O12</f>
        <v>#DIV/0!</v>
      </c>
      <c r="X12" s="249" t="e">
        <f>V12/O12</f>
        <v>#DIV/0!</v>
      </c>
      <c r="Y12" s="12">
        <f>O12-V12</f>
        <v>-36</v>
      </c>
      <c r="Z12" s="268"/>
      <c r="AA12" s="21"/>
      <c r="AB12" s="21"/>
      <c r="AC12" s="343"/>
    </row>
    <row r="13" spans="1:29" ht="15" x14ac:dyDescent="0.25">
      <c r="A13" s="312" t="s">
        <v>7</v>
      </c>
      <c r="B13" s="342">
        <v>3341</v>
      </c>
      <c r="C13" s="172">
        <v>5171</v>
      </c>
      <c r="D13" s="173">
        <v>398001</v>
      </c>
      <c r="E13" s="173"/>
      <c r="F13" s="163" t="s">
        <v>80</v>
      </c>
      <c r="G13" s="164">
        <v>0</v>
      </c>
      <c r="H13" s="164">
        <v>0</v>
      </c>
      <c r="I13" s="165">
        <v>180</v>
      </c>
      <c r="J13" s="168">
        <v>0</v>
      </c>
      <c r="K13" s="168">
        <v>180</v>
      </c>
      <c r="L13" s="175"/>
      <c r="M13" s="30"/>
      <c r="N13" s="275"/>
      <c r="O13" s="275"/>
      <c r="P13" s="275"/>
      <c r="Q13" s="21"/>
      <c r="R13" s="21"/>
      <c r="S13" s="21"/>
      <c r="T13" s="21"/>
      <c r="U13" s="21"/>
      <c r="V13" s="21"/>
      <c r="W13" s="344"/>
      <c r="X13" s="344"/>
      <c r="Y13" s="21"/>
      <c r="Z13" s="268"/>
      <c r="AA13" s="21"/>
      <c r="AB13" s="21"/>
      <c r="AC13" s="343"/>
    </row>
    <row r="14" spans="1:29" ht="15" x14ac:dyDescent="0.25">
      <c r="A14" s="313" t="s">
        <v>7</v>
      </c>
      <c r="B14" s="345">
        <v>3111</v>
      </c>
      <c r="C14" s="162">
        <v>5171</v>
      </c>
      <c r="D14" s="167">
        <v>140201</v>
      </c>
      <c r="E14" s="167"/>
      <c r="F14" s="163" t="s">
        <v>113</v>
      </c>
      <c r="G14" s="164">
        <v>12</v>
      </c>
      <c r="H14" s="164">
        <v>12</v>
      </c>
      <c r="I14" s="165">
        <v>12</v>
      </c>
      <c r="J14" s="168">
        <v>0</v>
      </c>
      <c r="K14" s="168">
        <v>12</v>
      </c>
      <c r="L14" s="175"/>
      <c r="M14" s="30"/>
      <c r="N14" s="275"/>
      <c r="O14" s="18">
        <f t="shared" ref="O14:O30" si="1">L14</f>
        <v>0</v>
      </c>
      <c r="P14" s="275"/>
      <c r="Q14" s="21"/>
      <c r="R14" s="21"/>
      <c r="S14" s="21"/>
      <c r="T14" s="21"/>
      <c r="U14" s="21"/>
      <c r="V14" s="21">
        <f t="shared" ref="V14:V30" si="2">R14+U14</f>
        <v>0</v>
      </c>
      <c r="W14" s="249" t="e">
        <f t="shared" ref="W14:W35" si="3">R14/O14</f>
        <v>#DIV/0!</v>
      </c>
      <c r="X14" s="249" t="e">
        <f t="shared" ref="X14:X35" si="4">V14/O14</f>
        <v>#DIV/0!</v>
      </c>
      <c r="Y14" s="12">
        <f t="shared" ref="Y14:Y35" si="5">O14-V14</f>
        <v>0</v>
      </c>
      <c r="Z14" s="268"/>
      <c r="AA14" s="21"/>
      <c r="AB14" s="21"/>
      <c r="AC14" s="343"/>
    </row>
    <row r="15" spans="1:29" ht="15" x14ac:dyDescent="0.25">
      <c r="A15" s="313" t="s">
        <v>7</v>
      </c>
      <c r="B15" s="345">
        <v>3111</v>
      </c>
      <c r="C15" s="162">
        <v>5171</v>
      </c>
      <c r="D15" s="167">
        <v>140301</v>
      </c>
      <c r="E15" s="167"/>
      <c r="F15" s="163" t="s">
        <v>114</v>
      </c>
      <c r="G15" s="164">
        <v>0</v>
      </c>
      <c r="H15" s="164">
        <v>12</v>
      </c>
      <c r="I15" s="165">
        <v>12</v>
      </c>
      <c r="J15" s="168">
        <v>0</v>
      </c>
      <c r="K15" s="168">
        <v>12</v>
      </c>
      <c r="L15" s="175"/>
      <c r="M15" s="30"/>
      <c r="N15" s="275"/>
      <c r="O15" s="18">
        <f t="shared" si="1"/>
        <v>0</v>
      </c>
      <c r="P15" s="275"/>
      <c r="Q15" s="21"/>
      <c r="R15" s="21"/>
      <c r="S15" s="21"/>
      <c r="T15" s="21"/>
      <c r="U15" s="21"/>
      <c r="V15" s="21">
        <f t="shared" si="2"/>
        <v>0</v>
      </c>
      <c r="W15" s="249" t="e">
        <f t="shared" si="3"/>
        <v>#DIV/0!</v>
      </c>
      <c r="X15" s="249" t="e">
        <f t="shared" si="4"/>
        <v>#DIV/0!</v>
      </c>
      <c r="Y15" s="12">
        <f t="shared" si="5"/>
        <v>0</v>
      </c>
      <c r="Z15" s="268"/>
      <c r="AA15" s="21"/>
      <c r="AB15" s="21"/>
      <c r="AC15" s="343"/>
    </row>
    <row r="16" spans="1:29" ht="15" x14ac:dyDescent="0.25">
      <c r="A16" s="313" t="s">
        <v>7</v>
      </c>
      <c r="B16" s="345">
        <v>3111</v>
      </c>
      <c r="C16" s="162">
        <v>5171</v>
      </c>
      <c r="D16" s="167">
        <v>140501</v>
      </c>
      <c r="E16" s="167"/>
      <c r="F16" s="163" t="s">
        <v>115</v>
      </c>
      <c r="G16" s="164">
        <v>11</v>
      </c>
      <c r="H16" s="164">
        <v>12</v>
      </c>
      <c r="I16" s="165">
        <v>12</v>
      </c>
      <c r="J16" s="168">
        <v>0</v>
      </c>
      <c r="K16" s="168">
        <v>12</v>
      </c>
      <c r="L16" s="175"/>
      <c r="M16" s="30"/>
      <c r="N16" s="275"/>
      <c r="O16" s="18">
        <f t="shared" si="1"/>
        <v>0</v>
      </c>
      <c r="P16" s="275"/>
      <c r="Q16" s="21"/>
      <c r="R16" s="21"/>
      <c r="S16" s="21"/>
      <c r="T16" s="21"/>
      <c r="U16" s="21"/>
      <c r="V16" s="21">
        <f t="shared" si="2"/>
        <v>0</v>
      </c>
      <c r="W16" s="249" t="e">
        <f t="shared" si="3"/>
        <v>#DIV/0!</v>
      </c>
      <c r="X16" s="249" t="e">
        <f t="shared" si="4"/>
        <v>#DIV/0!</v>
      </c>
      <c r="Y16" s="12">
        <f t="shared" si="5"/>
        <v>0</v>
      </c>
      <c r="Z16" s="268"/>
      <c r="AA16" s="21"/>
      <c r="AB16" s="21"/>
      <c r="AC16" s="343"/>
    </row>
    <row r="17" spans="1:29" ht="15" x14ac:dyDescent="0.25">
      <c r="A17" s="313" t="s">
        <v>7</v>
      </c>
      <c r="B17" s="345">
        <v>3111</v>
      </c>
      <c r="C17" s="162">
        <v>5171</v>
      </c>
      <c r="D17" s="167">
        <v>140601</v>
      </c>
      <c r="E17" s="167"/>
      <c r="F17" s="163" t="s">
        <v>116</v>
      </c>
      <c r="G17" s="164">
        <v>12</v>
      </c>
      <c r="H17" s="164">
        <v>12</v>
      </c>
      <c r="I17" s="165">
        <v>12</v>
      </c>
      <c r="J17" s="168">
        <v>0</v>
      </c>
      <c r="K17" s="168">
        <v>12</v>
      </c>
      <c r="L17" s="175"/>
      <c r="M17" s="30"/>
      <c r="N17" s="275"/>
      <c r="O17" s="18">
        <f t="shared" si="1"/>
        <v>0</v>
      </c>
      <c r="P17" s="275"/>
      <c r="Q17" s="21"/>
      <c r="R17" s="21"/>
      <c r="S17" s="21"/>
      <c r="T17" s="21"/>
      <c r="U17" s="21"/>
      <c r="V17" s="21">
        <f t="shared" si="2"/>
        <v>0</v>
      </c>
      <c r="W17" s="249" t="e">
        <f t="shared" si="3"/>
        <v>#DIV/0!</v>
      </c>
      <c r="X17" s="249" t="e">
        <f t="shared" si="4"/>
        <v>#DIV/0!</v>
      </c>
      <c r="Y17" s="12">
        <f t="shared" si="5"/>
        <v>0</v>
      </c>
      <c r="Z17" s="268"/>
      <c r="AA17" s="21"/>
      <c r="AB17" s="21"/>
      <c r="AC17" s="343"/>
    </row>
    <row r="18" spans="1:29" ht="15" x14ac:dyDescent="0.25">
      <c r="A18" s="313" t="s">
        <v>7</v>
      </c>
      <c r="B18" s="345">
        <v>3111</v>
      </c>
      <c r="C18" s="162">
        <v>5171</v>
      </c>
      <c r="D18" s="167">
        <v>140701</v>
      </c>
      <c r="E18" s="167"/>
      <c r="F18" s="163" t="s">
        <v>45</v>
      </c>
      <c r="G18" s="164">
        <v>11</v>
      </c>
      <c r="H18" s="164">
        <v>12</v>
      </c>
      <c r="I18" s="165">
        <v>12</v>
      </c>
      <c r="J18" s="168">
        <v>12</v>
      </c>
      <c r="K18" s="168">
        <v>12</v>
      </c>
      <c r="L18" s="175"/>
      <c r="M18" s="30"/>
      <c r="N18" s="275"/>
      <c r="O18" s="18">
        <f t="shared" si="1"/>
        <v>0</v>
      </c>
      <c r="P18" s="275"/>
      <c r="Q18" s="21"/>
      <c r="R18" s="21"/>
      <c r="S18" s="21"/>
      <c r="T18" s="21"/>
      <c r="U18" s="21"/>
      <c r="V18" s="21">
        <f t="shared" si="2"/>
        <v>0</v>
      </c>
      <c r="W18" s="249" t="e">
        <f t="shared" si="3"/>
        <v>#DIV/0!</v>
      </c>
      <c r="X18" s="249" t="e">
        <f t="shared" si="4"/>
        <v>#DIV/0!</v>
      </c>
      <c r="Y18" s="12">
        <f t="shared" si="5"/>
        <v>0</v>
      </c>
      <c r="Z18" s="268"/>
      <c r="AA18" s="21"/>
      <c r="AB18" s="21"/>
      <c r="AC18" s="343"/>
    </row>
    <row r="19" spans="1:29" ht="15" x14ac:dyDescent="0.25">
      <c r="A19" s="313" t="s">
        <v>7</v>
      </c>
      <c r="B19" s="345">
        <v>3111</v>
      </c>
      <c r="C19" s="162">
        <v>5171</v>
      </c>
      <c r="D19" s="167"/>
      <c r="E19" s="167"/>
      <c r="F19" s="163" t="s">
        <v>78</v>
      </c>
      <c r="G19" s="164">
        <v>0</v>
      </c>
      <c r="H19" s="164">
        <v>25</v>
      </c>
      <c r="I19" s="165">
        <v>25</v>
      </c>
      <c r="J19" s="168">
        <v>0</v>
      </c>
      <c r="K19" s="168">
        <v>25</v>
      </c>
      <c r="L19" s="175"/>
      <c r="M19" s="18">
        <f>SUM(L9:L19)</f>
        <v>0</v>
      </c>
      <c r="N19" s="275"/>
      <c r="O19" s="18">
        <f t="shared" si="1"/>
        <v>0</v>
      </c>
      <c r="P19" s="18">
        <f>SUM(O9:O19)</f>
        <v>0</v>
      </c>
      <c r="Q19" s="21"/>
      <c r="R19" s="21"/>
      <c r="S19" s="18">
        <f>SUM(R9:R19)</f>
        <v>0</v>
      </c>
      <c r="T19" s="21"/>
      <c r="U19" s="21"/>
      <c r="V19" s="21">
        <f t="shared" si="2"/>
        <v>0</v>
      </c>
      <c r="W19" s="249" t="e">
        <f t="shared" si="3"/>
        <v>#DIV/0!</v>
      </c>
      <c r="X19" s="249" t="e">
        <f t="shared" si="4"/>
        <v>#DIV/0!</v>
      </c>
      <c r="Y19" s="12">
        <f t="shared" si="5"/>
        <v>0</v>
      </c>
      <c r="Z19" s="268"/>
      <c r="AA19" s="21"/>
      <c r="AB19" s="21"/>
      <c r="AC19" s="343"/>
    </row>
    <row r="20" spans="1:29" ht="15" x14ac:dyDescent="0.25">
      <c r="A20" s="313" t="s">
        <v>486</v>
      </c>
      <c r="B20" s="345">
        <v>3111</v>
      </c>
      <c r="C20" s="162">
        <v>5331</v>
      </c>
      <c r="D20" s="167"/>
      <c r="E20" s="167"/>
      <c r="F20" s="163" t="s">
        <v>487</v>
      </c>
      <c r="G20" s="164">
        <v>20</v>
      </c>
      <c r="H20" s="164">
        <f>20+10</f>
        <v>30</v>
      </c>
      <c r="I20" s="176">
        <f>H20</f>
        <v>30</v>
      </c>
      <c r="J20" s="174">
        <v>13</v>
      </c>
      <c r="K20" s="174">
        <v>30</v>
      </c>
      <c r="L20" s="175"/>
      <c r="M20" s="18">
        <f t="shared" ref="M20:M29" si="6">L20</f>
        <v>0</v>
      </c>
      <c r="N20" s="275"/>
      <c r="O20" s="18">
        <f t="shared" si="1"/>
        <v>0</v>
      </c>
      <c r="P20" s="18">
        <f>O20</f>
        <v>0</v>
      </c>
      <c r="Q20" s="21"/>
      <c r="R20" s="21"/>
      <c r="S20" s="18">
        <f t="shared" ref="S20:S27" si="7">R20</f>
        <v>0</v>
      </c>
      <c r="T20" s="21"/>
      <c r="U20" s="21"/>
      <c r="V20" s="21">
        <f t="shared" si="2"/>
        <v>0</v>
      </c>
      <c r="W20" s="249" t="e">
        <f t="shared" si="3"/>
        <v>#DIV/0!</v>
      </c>
      <c r="X20" s="249" t="e">
        <f t="shared" si="4"/>
        <v>#DIV/0!</v>
      </c>
      <c r="Y20" s="12">
        <f t="shared" si="5"/>
        <v>0</v>
      </c>
      <c r="Z20" s="268"/>
      <c r="AA20" s="21"/>
      <c r="AB20" s="21"/>
      <c r="AC20" s="343"/>
    </row>
    <row r="21" spans="1:29" ht="15" x14ac:dyDescent="0.25">
      <c r="A21" s="312" t="s">
        <v>486</v>
      </c>
      <c r="B21" s="346">
        <v>3111</v>
      </c>
      <c r="C21" s="309">
        <v>5331</v>
      </c>
      <c r="D21" s="246">
        <v>1402</v>
      </c>
      <c r="E21" s="246"/>
      <c r="F21" s="244" t="s">
        <v>36</v>
      </c>
      <c r="G21" s="245">
        <v>365</v>
      </c>
      <c r="H21" s="245">
        <f>366+10</f>
        <v>376</v>
      </c>
      <c r="I21" s="310">
        <f>H21</f>
        <v>376</v>
      </c>
      <c r="J21" s="310">
        <v>189</v>
      </c>
      <c r="K21" s="310">
        <v>376</v>
      </c>
      <c r="L21" s="245"/>
      <c r="M21" s="239">
        <f t="shared" si="6"/>
        <v>0</v>
      </c>
      <c r="N21" s="347"/>
      <c r="O21" s="239">
        <f t="shared" si="1"/>
        <v>0</v>
      </c>
      <c r="P21" s="239">
        <f>O21</f>
        <v>0</v>
      </c>
      <c r="Q21" s="348"/>
      <c r="R21" s="348">
        <v>93</v>
      </c>
      <c r="S21" s="239">
        <f t="shared" si="7"/>
        <v>93</v>
      </c>
      <c r="T21" s="348"/>
      <c r="U21" s="348"/>
      <c r="V21" s="348">
        <f t="shared" si="2"/>
        <v>93</v>
      </c>
      <c r="W21" s="349" t="e">
        <f t="shared" si="3"/>
        <v>#DIV/0!</v>
      </c>
      <c r="X21" s="349" t="e">
        <f t="shared" si="4"/>
        <v>#DIV/0!</v>
      </c>
      <c r="Y21" s="238">
        <f t="shared" si="5"/>
        <v>-93</v>
      </c>
      <c r="Z21" s="350"/>
      <c r="AA21" s="238">
        <f>O21*19.95/100</f>
        <v>0</v>
      </c>
      <c r="AB21" s="348"/>
      <c r="AC21" s="351"/>
    </row>
    <row r="22" spans="1:29" ht="15" x14ac:dyDescent="0.25">
      <c r="A22" s="312" t="s">
        <v>486</v>
      </c>
      <c r="B22" s="346">
        <v>3111</v>
      </c>
      <c r="C22" s="309">
        <v>5331</v>
      </c>
      <c r="D22" s="246">
        <v>1403</v>
      </c>
      <c r="E22" s="246"/>
      <c r="F22" s="244" t="s">
        <v>132</v>
      </c>
      <c r="G22" s="245">
        <v>382</v>
      </c>
      <c r="H22" s="245">
        <f>383+10</f>
        <v>393</v>
      </c>
      <c r="I22" s="310">
        <f>H22</f>
        <v>393</v>
      </c>
      <c r="J22" s="310">
        <v>197</v>
      </c>
      <c r="K22" s="310">
        <v>393</v>
      </c>
      <c r="L22" s="245"/>
      <c r="M22" s="239">
        <f t="shared" si="6"/>
        <v>0</v>
      </c>
      <c r="N22" s="347"/>
      <c r="O22" s="239">
        <f t="shared" si="1"/>
        <v>0</v>
      </c>
      <c r="P22" s="239">
        <f>O22</f>
        <v>0</v>
      </c>
      <c r="Q22" s="348"/>
      <c r="R22" s="348">
        <v>94</v>
      </c>
      <c r="S22" s="239">
        <f t="shared" si="7"/>
        <v>94</v>
      </c>
      <c r="T22" s="348"/>
      <c r="U22" s="348"/>
      <c r="V22" s="348">
        <f t="shared" si="2"/>
        <v>94</v>
      </c>
      <c r="W22" s="349" t="e">
        <f t="shared" si="3"/>
        <v>#DIV/0!</v>
      </c>
      <c r="X22" s="349" t="e">
        <f t="shared" si="4"/>
        <v>#DIV/0!</v>
      </c>
      <c r="Y22" s="238">
        <f t="shared" si="5"/>
        <v>-94</v>
      </c>
      <c r="Z22" s="350"/>
      <c r="AA22" s="238">
        <f>O22*19.95/100</f>
        <v>0</v>
      </c>
      <c r="AB22" s="348"/>
      <c r="AC22" s="351"/>
    </row>
    <row r="23" spans="1:29" ht="15" x14ac:dyDescent="0.25">
      <c r="A23" s="312" t="s">
        <v>486</v>
      </c>
      <c r="B23" s="346">
        <v>3111</v>
      </c>
      <c r="C23" s="309">
        <v>5331</v>
      </c>
      <c r="D23" s="246">
        <v>1405</v>
      </c>
      <c r="E23" s="246"/>
      <c r="F23" s="244" t="s">
        <v>28</v>
      </c>
      <c r="G23" s="245">
        <v>410</v>
      </c>
      <c r="H23" s="245">
        <f>407+10</f>
        <v>417</v>
      </c>
      <c r="I23" s="310">
        <f>H23</f>
        <v>417</v>
      </c>
      <c r="J23" s="310">
        <v>209</v>
      </c>
      <c r="K23" s="310">
        <v>417</v>
      </c>
      <c r="L23" s="245"/>
      <c r="M23" s="239">
        <f t="shared" si="6"/>
        <v>0</v>
      </c>
      <c r="N23" s="347"/>
      <c r="O23" s="239">
        <f t="shared" si="1"/>
        <v>0</v>
      </c>
      <c r="P23" s="239">
        <f>O23</f>
        <v>0</v>
      </c>
      <c r="Q23" s="348"/>
      <c r="R23" s="348">
        <v>105</v>
      </c>
      <c r="S23" s="239">
        <f t="shared" si="7"/>
        <v>105</v>
      </c>
      <c r="T23" s="348"/>
      <c r="U23" s="348"/>
      <c r="V23" s="348">
        <f t="shared" si="2"/>
        <v>105</v>
      </c>
      <c r="W23" s="349" t="e">
        <f t="shared" si="3"/>
        <v>#DIV/0!</v>
      </c>
      <c r="X23" s="349" t="e">
        <f t="shared" si="4"/>
        <v>#DIV/0!</v>
      </c>
      <c r="Y23" s="238">
        <f t="shared" si="5"/>
        <v>-105</v>
      </c>
      <c r="Z23" s="350"/>
      <c r="AA23" s="238">
        <f>O23*19.95/100</f>
        <v>0</v>
      </c>
      <c r="AB23" s="348"/>
      <c r="AC23" s="351"/>
    </row>
    <row r="24" spans="1:29" ht="15" x14ac:dyDescent="0.25">
      <c r="A24" s="312" t="s">
        <v>486</v>
      </c>
      <c r="B24" s="346">
        <v>3111</v>
      </c>
      <c r="C24" s="309">
        <v>5331</v>
      </c>
      <c r="D24" s="246">
        <v>1407</v>
      </c>
      <c r="E24" s="246"/>
      <c r="F24" s="244" t="s">
        <v>272</v>
      </c>
      <c r="G24" s="245">
        <v>309</v>
      </c>
      <c r="H24" s="245">
        <f>304+10</f>
        <v>314</v>
      </c>
      <c r="I24" s="310">
        <f>H24</f>
        <v>314</v>
      </c>
      <c r="J24" s="310">
        <v>153</v>
      </c>
      <c r="K24" s="310">
        <v>314</v>
      </c>
      <c r="L24" s="245"/>
      <c r="M24" s="239">
        <f t="shared" si="6"/>
        <v>0</v>
      </c>
      <c r="N24" s="347"/>
      <c r="O24" s="239">
        <f t="shared" si="1"/>
        <v>0</v>
      </c>
      <c r="P24" s="239">
        <f>O24</f>
        <v>0</v>
      </c>
      <c r="Q24" s="348"/>
      <c r="R24" s="348">
        <v>86</v>
      </c>
      <c r="S24" s="239">
        <f t="shared" si="7"/>
        <v>86</v>
      </c>
      <c r="T24" s="348"/>
      <c r="U24" s="348"/>
      <c r="V24" s="348">
        <f t="shared" si="2"/>
        <v>86</v>
      </c>
      <c r="W24" s="349" t="e">
        <f t="shared" si="3"/>
        <v>#DIV/0!</v>
      </c>
      <c r="X24" s="349" t="e">
        <f t="shared" si="4"/>
        <v>#DIV/0!</v>
      </c>
      <c r="Y24" s="238">
        <f t="shared" si="5"/>
        <v>-86</v>
      </c>
      <c r="Z24" s="350"/>
      <c r="AA24" s="238">
        <f>O24*19.95/100</f>
        <v>0</v>
      </c>
      <c r="AB24" s="348"/>
      <c r="AC24" s="351"/>
    </row>
    <row r="25" spans="1:29" ht="15" x14ac:dyDescent="0.25">
      <c r="A25" s="312" t="s">
        <v>486</v>
      </c>
      <c r="B25" s="342">
        <v>3111</v>
      </c>
      <c r="C25" s="172">
        <v>5331</v>
      </c>
      <c r="D25" s="173">
        <v>1402</v>
      </c>
      <c r="E25" s="173">
        <v>33353</v>
      </c>
      <c r="F25" s="170" t="s">
        <v>27</v>
      </c>
      <c r="G25" s="164">
        <v>2120</v>
      </c>
      <c r="H25" s="165">
        <v>0</v>
      </c>
      <c r="I25" s="164">
        <v>2446</v>
      </c>
      <c r="J25" s="165">
        <v>1338</v>
      </c>
      <c r="K25" s="174">
        <v>2446</v>
      </c>
      <c r="L25" s="175"/>
      <c r="M25" s="18">
        <f t="shared" si="6"/>
        <v>0</v>
      </c>
      <c r="N25" s="275"/>
      <c r="O25" s="18">
        <f t="shared" si="1"/>
        <v>0</v>
      </c>
      <c r="P25" s="275"/>
      <c r="Q25" s="21"/>
      <c r="R25" s="21">
        <v>420</v>
      </c>
      <c r="S25" s="18">
        <f t="shared" si="7"/>
        <v>420</v>
      </c>
      <c r="T25" s="21"/>
      <c r="U25" s="21"/>
      <c r="V25" s="21">
        <f t="shared" si="2"/>
        <v>420</v>
      </c>
      <c r="W25" s="249" t="e">
        <f t="shared" si="3"/>
        <v>#DIV/0!</v>
      </c>
      <c r="X25" s="249" t="e">
        <f t="shared" si="4"/>
        <v>#DIV/0!</v>
      </c>
      <c r="Y25" s="12">
        <f t="shared" si="5"/>
        <v>-420</v>
      </c>
      <c r="Z25" s="268"/>
      <c r="AA25" s="21"/>
      <c r="AB25" s="21"/>
      <c r="AC25" s="343"/>
    </row>
    <row r="26" spans="1:29" ht="15" x14ac:dyDescent="0.25">
      <c r="A26" s="312" t="s">
        <v>486</v>
      </c>
      <c r="B26" s="342">
        <v>3111</v>
      </c>
      <c r="C26" s="172">
        <v>5331</v>
      </c>
      <c r="D26" s="173">
        <v>1403</v>
      </c>
      <c r="E26" s="173">
        <v>33353</v>
      </c>
      <c r="F26" s="170" t="s">
        <v>30</v>
      </c>
      <c r="G26" s="164">
        <v>1786</v>
      </c>
      <c r="H26" s="165">
        <v>0</v>
      </c>
      <c r="I26" s="164">
        <v>2061</v>
      </c>
      <c r="J26" s="165">
        <v>1030</v>
      </c>
      <c r="K26" s="174">
        <v>2061</v>
      </c>
      <c r="L26" s="175"/>
      <c r="M26" s="18">
        <f t="shared" si="6"/>
        <v>0</v>
      </c>
      <c r="N26" s="275"/>
      <c r="O26" s="18">
        <f t="shared" si="1"/>
        <v>0</v>
      </c>
      <c r="P26" s="275"/>
      <c r="Q26" s="21"/>
      <c r="R26" s="21">
        <v>353</v>
      </c>
      <c r="S26" s="18">
        <f t="shared" si="7"/>
        <v>353</v>
      </c>
      <c r="T26" s="21"/>
      <c r="U26" s="21"/>
      <c r="V26" s="21">
        <f t="shared" si="2"/>
        <v>353</v>
      </c>
      <c r="W26" s="249" t="e">
        <f t="shared" si="3"/>
        <v>#DIV/0!</v>
      </c>
      <c r="X26" s="249" t="e">
        <f t="shared" si="4"/>
        <v>#DIV/0!</v>
      </c>
      <c r="Y26" s="12">
        <f t="shared" si="5"/>
        <v>-353</v>
      </c>
      <c r="Z26" s="268"/>
      <c r="AA26" s="21"/>
      <c r="AB26" s="21"/>
      <c r="AC26" s="343"/>
    </row>
    <row r="27" spans="1:29" ht="15" x14ac:dyDescent="0.25">
      <c r="A27" s="312" t="s">
        <v>486</v>
      </c>
      <c r="B27" s="342">
        <v>3111</v>
      </c>
      <c r="C27" s="172">
        <v>5331</v>
      </c>
      <c r="D27" s="173">
        <v>1405</v>
      </c>
      <c r="E27" s="173">
        <v>33353</v>
      </c>
      <c r="F27" s="170" t="s">
        <v>294</v>
      </c>
      <c r="G27" s="164">
        <v>2349</v>
      </c>
      <c r="H27" s="165">
        <v>0</v>
      </c>
      <c r="I27" s="164">
        <v>2651</v>
      </c>
      <c r="J27" s="165">
        <v>1325</v>
      </c>
      <c r="K27" s="174">
        <v>2651</v>
      </c>
      <c r="L27" s="175"/>
      <c r="M27" s="18">
        <f t="shared" si="6"/>
        <v>0</v>
      </c>
      <c r="N27" s="275"/>
      <c r="O27" s="18">
        <f t="shared" si="1"/>
        <v>0</v>
      </c>
      <c r="P27" s="275"/>
      <c r="Q27" s="21"/>
      <c r="R27" s="21">
        <v>455</v>
      </c>
      <c r="S27" s="18">
        <f t="shared" si="7"/>
        <v>455</v>
      </c>
      <c r="T27" s="21"/>
      <c r="U27" s="21"/>
      <c r="V27" s="21">
        <f t="shared" si="2"/>
        <v>455</v>
      </c>
      <c r="W27" s="249" t="e">
        <f t="shared" si="3"/>
        <v>#DIV/0!</v>
      </c>
      <c r="X27" s="249" t="e">
        <f t="shared" si="4"/>
        <v>#DIV/0!</v>
      </c>
      <c r="Y27" s="12">
        <f t="shared" si="5"/>
        <v>-455</v>
      </c>
      <c r="Z27" s="268"/>
      <c r="AA27" s="21"/>
      <c r="AB27" s="21"/>
      <c r="AC27" s="343"/>
    </row>
    <row r="28" spans="1:29" ht="15" x14ac:dyDescent="0.25">
      <c r="A28" s="312" t="s">
        <v>486</v>
      </c>
      <c r="B28" s="342">
        <v>3111</v>
      </c>
      <c r="C28" s="172">
        <v>5331</v>
      </c>
      <c r="D28" s="173">
        <v>1406</v>
      </c>
      <c r="E28" s="173">
        <v>33353</v>
      </c>
      <c r="F28" s="170" t="s">
        <v>343</v>
      </c>
      <c r="G28" s="164">
        <v>1351</v>
      </c>
      <c r="H28" s="165"/>
      <c r="I28" s="164"/>
      <c r="J28" s="165"/>
      <c r="K28" s="174"/>
      <c r="L28" s="175"/>
      <c r="M28" s="18">
        <f t="shared" si="6"/>
        <v>0</v>
      </c>
      <c r="N28" s="275"/>
      <c r="O28" s="18">
        <f t="shared" si="1"/>
        <v>0</v>
      </c>
      <c r="P28" s="275"/>
      <c r="Q28" s="21"/>
      <c r="R28" s="21"/>
      <c r="S28" s="21"/>
      <c r="T28" s="21"/>
      <c r="U28" s="21"/>
      <c r="V28" s="21">
        <f t="shared" si="2"/>
        <v>0</v>
      </c>
      <c r="W28" s="249" t="e">
        <f t="shared" si="3"/>
        <v>#DIV/0!</v>
      </c>
      <c r="X28" s="249" t="e">
        <f t="shared" si="4"/>
        <v>#DIV/0!</v>
      </c>
      <c r="Y28" s="12">
        <f t="shared" si="5"/>
        <v>0</v>
      </c>
      <c r="Z28" s="268"/>
      <c r="AA28" s="21"/>
      <c r="AB28" s="21"/>
      <c r="AC28" s="343"/>
    </row>
    <row r="29" spans="1:29" ht="15" x14ac:dyDescent="0.25">
      <c r="A29" s="312" t="s">
        <v>486</v>
      </c>
      <c r="B29" s="342">
        <v>3111</v>
      </c>
      <c r="C29" s="172">
        <v>5331</v>
      </c>
      <c r="D29" s="173">
        <v>1407</v>
      </c>
      <c r="E29" s="173">
        <v>33353</v>
      </c>
      <c r="F29" s="170" t="s">
        <v>344</v>
      </c>
      <c r="G29" s="164">
        <v>1622</v>
      </c>
      <c r="H29" s="165">
        <v>0</v>
      </c>
      <c r="I29" s="164">
        <v>1981</v>
      </c>
      <c r="J29" s="165">
        <v>990</v>
      </c>
      <c r="K29" s="174">
        <v>1981</v>
      </c>
      <c r="L29" s="175"/>
      <c r="M29" s="18">
        <f t="shared" si="6"/>
        <v>0</v>
      </c>
      <c r="N29" s="275"/>
      <c r="O29" s="18">
        <f t="shared" si="1"/>
        <v>0</v>
      </c>
      <c r="P29" s="275"/>
      <c r="Q29" s="21"/>
      <c r="R29" s="21">
        <v>340</v>
      </c>
      <c r="S29" s="18">
        <f>R29</f>
        <v>340</v>
      </c>
      <c r="T29" s="21"/>
      <c r="U29" s="21"/>
      <c r="V29" s="21">
        <f t="shared" si="2"/>
        <v>340</v>
      </c>
      <c r="W29" s="249" t="e">
        <f t="shared" si="3"/>
        <v>#DIV/0!</v>
      </c>
      <c r="X29" s="249" t="e">
        <f t="shared" si="4"/>
        <v>#DIV/0!</v>
      </c>
      <c r="Y29" s="12">
        <f t="shared" si="5"/>
        <v>-340</v>
      </c>
      <c r="Z29" s="268"/>
      <c r="AA29" s="21"/>
      <c r="AB29" s="21"/>
      <c r="AC29" s="343"/>
    </row>
    <row r="30" spans="1:29" ht="15" x14ac:dyDescent="0.25">
      <c r="A30" s="314" t="s">
        <v>7</v>
      </c>
      <c r="B30" s="303">
        <v>3111</v>
      </c>
      <c r="C30" s="202">
        <v>6121</v>
      </c>
      <c r="D30" s="202">
        <v>140701</v>
      </c>
      <c r="E30" s="203"/>
      <c r="F30" s="185" t="s">
        <v>128</v>
      </c>
      <c r="G30" s="164"/>
      <c r="H30" s="165"/>
      <c r="I30" s="164"/>
      <c r="J30" s="165"/>
      <c r="K30" s="176"/>
      <c r="L30" s="24"/>
      <c r="M30" s="352"/>
      <c r="N30" s="353">
        <f>L30</f>
        <v>0</v>
      </c>
      <c r="O30" s="296">
        <f t="shared" si="1"/>
        <v>0</v>
      </c>
      <c r="P30" s="297"/>
      <c r="Q30" s="353">
        <f>O30</f>
        <v>0</v>
      </c>
      <c r="R30" s="275"/>
      <c r="S30" s="297"/>
      <c r="T30" s="353">
        <f>R30</f>
        <v>0</v>
      </c>
      <c r="U30" s="275"/>
      <c r="V30" s="275">
        <f t="shared" si="2"/>
        <v>0</v>
      </c>
      <c r="W30" s="250" t="e">
        <f t="shared" si="3"/>
        <v>#DIV/0!</v>
      </c>
      <c r="X30" s="250" t="e">
        <f t="shared" si="4"/>
        <v>#DIV/0!</v>
      </c>
      <c r="Y30" s="296">
        <f t="shared" si="5"/>
        <v>0</v>
      </c>
      <c r="Z30" s="268"/>
      <c r="AA30" s="21"/>
      <c r="AB30" s="21"/>
      <c r="AC30" s="343"/>
    </row>
    <row r="31" spans="1:29" ht="15" x14ac:dyDescent="0.25">
      <c r="A31" s="311"/>
      <c r="B31" s="340">
        <v>3113</v>
      </c>
      <c r="C31" s="23"/>
      <c r="D31" s="27"/>
      <c r="E31" s="27"/>
      <c r="F31" s="16" t="s">
        <v>295</v>
      </c>
      <c r="G31" s="17">
        <f>SUM(G32:G47)</f>
        <v>54809</v>
      </c>
      <c r="H31" s="17">
        <f>SUM(H32:H47)</f>
        <v>9952</v>
      </c>
      <c r="I31" s="17">
        <f>SUM(I32:I47)</f>
        <v>60927</v>
      </c>
      <c r="J31" s="17">
        <f>SUM(J32:J47)</f>
        <v>30934</v>
      </c>
      <c r="K31" s="17">
        <f>SUM(K32:K47)</f>
        <v>61507</v>
      </c>
      <c r="L31" s="17">
        <f t="shared" ref="L31:V31" si="8">SUM(L32:L52)</f>
        <v>0</v>
      </c>
      <c r="M31" s="17">
        <f t="shared" si="8"/>
        <v>0</v>
      </c>
      <c r="N31" s="124">
        <f t="shared" si="8"/>
        <v>0</v>
      </c>
      <c r="O31" s="17">
        <f t="shared" si="8"/>
        <v>0</v>
      </c>
      <c r="P31" s="17">
        <f t="shared" si="8"/>
        <v>0</v>
      </c>
      <c r="Q31" s="124">
        <f t="shared" si="8"/>
        <v>0</v>
      </c>
      <c r="R31" s="17">
        <f t="shared" si="8"/>
        <v>11150</v>
      </c>
      <c r="S31" s="17">
        <f t="shared" si="8"/>
        <v>11150</v>
      </c>
      <c r="T31" s="124">
        <f t="shared" si="8"/>
        <v>0</v>
      </c>
      <c r="U31" s="17">
        <f t="shared" si="8"/>
        <v>30</v>
      </c>
      <c r="V31" s="17">
        <f t="shared" si="8"/>
        <v>11180</v>
      </c>
      <c r="W31" s="341" t="e">
        <f t="shared" si="3"/>
        <v>#DIV/0!</v>
      </c>
      <c r="X31" s="341" t="e">
        <f t="shared" si="4"/>
        <v>#DIV/0!</v>
      </c>
      <c r="Y31" s="17">
        <f t="shared" si="5"/>
        <v>-11180</v>
      </c>
      <c r="Z31" s="268"/>
      <c r="AA31" s="17">
        <f>SUM(AA32:AA52)</f>
        <v>0</v>
      </c>
      <c r="AB31" s="17">
        <f>SUM(AB32:AB52)</f>
        <v>0</v>
      </c>
      <c r="AC31" s="304">
        <f>SUM(AC32:AC52)</f>
        <v>0</v>
      </c>
    </row>
    <row r="32" spans="1:29" ht="15" x14ac:dyDescent="0.25">
      <c r="A32" s="312" t="s">
        <v>7</v>
      </c>
      <c r="B32" s="342">
        <v>3113</v>
      </c>
      <c r="C32" s="172">
        <v>5171</v>
      </c>
      <c r="D32" s="173">
        <v>1421</v>
      </c>
      <c r="E32" s="173"/>
      <c r="F32" s="170" t="s">
        <v>42</v>
      </c>
      <c r="G32" s="175">
        <v>400</v>
      </c>
      <c r="H32" s="164">
        <v>270</v>
      </c>
      <c r="I32" s="165">
        <v>270</v>
      </c>
      <c r="J32" s="168">
        <v>145</v>
      </c>
      <c r="K32" s="168">
        <v>270</v>
      </c>
      <c r="L32" s="175"/>
      <c r="M32" s="30"/>
      <c r="N32" s="275"/>
      <c r="O32" s="18">
        <f>L32</f>
        <v>0</v>
      </c>
      <c r="P32" s="275"/>
      <c r="Q32" s="21"/>
      <c r="R32" s="12"/>
      <c r="S32" s="21"/>
      <c r="T32" s="21"/>
      <c r="U32" s="21"/>
      <c r="V32" s="21">
        <f>R32+U32</f>
        <v>0</v>
      </c>
      <c r="W32" s="249" t="e">
        <f t="shared" si="3"/>
        <v>#DIV/0!</v>
      </c>
      <c r="X32" s="249" t="e">
        <f t="shared" si="4"/>
        <v>#DIV/0!</v>
      </c>
      <c r="Y32" s="12">
        <f t="shared" si="5"/>
        <v>0</v>
      </c>
      <c r="Z32" s="268"/>
      <c r="AA32" s="21"/>
      <c r="AB32" s="21"/>
      <c r="AC32" s="343"/>
    </row>
    <row r="33" spans="1:29" ht="15" x14ac:dyDescent="0.25">
      <c r="A33" s="312" t="s">
        <v>7</v>
      </c>
      <c r="B33" s="342">
        <v>3113</v>
      </c>
      <c r="C33" s="172">
        <v>5171</v>
      </c>
      <c r="D33" s="173">
        <v>1423</v>
      </c>
      <c r="E33" s="173"/>
      <c r="F33" s="163" t="s">
        <v>43</v>
      </c>
      <c r="G33" s="164">
        <v>449</v>
      </c>
      <c r="H33" s="164">
        <v>350</v>
      </c>
      <c r="I33" s="165">
        <v>350</v>
      </c>
      <c r="J33" s="168">
        <v>91</v>
      </c>
      <c r="K33" s="168">
        <v>350</v>
      </c>
      <c r="L33" s="175"/>
      <c r="M33" s="30"/>
      <c r="N33" s="275"/>
      <c r="O33" s="18">
        <f>L33</f>
        <v>0</v>
      </c>
      <c r="P33" s="275"/>
      <c r="Q33" s="21"/>
      <c r="R33" s="12"/>
      <c r="S33" s="21"/>
      <c r="T33" s="21"/>
      <c r="U33" s="21">
        <f>14</f>
        <v>14</v>
      </c>
      <c r="V33" s="21">
        <f>R33+U33</f>
        <v>14</v>
      </c>
      <c r="W33" s="249" t="e">
        <f t="shared" si="3"/>
        <v>#DIV/0!</v>
      </c>
      <c r="X33" s="249" t="e">
        <f t="shared" si="4"/>
        <v>#DIV/0!</v>
      </c>
      <c r="Y33" s="12">
        <f t="shared" si="5"/>
        <v>-14</v>
      </c>
      <c r="Z33" s="268"/>
      <c r="AA33" s="21"/>
      <c r="AB33" s="21"/>
      <c r="AC33" s="343"/>
    </row>
    <row r="34" spans="1:29" ht="15" x14ac:dyDescent="0.25">
      <c r="A34" s="312" t="s">
        <v>7</v>
      </c>
      <c r="B34" s="342">
        <v>3113</v>
      </c>
      <c r="C34" s="172">
        <v>5171</v>
      </c>
      <c r="D34" s="173">
        <v>1424</v>
      </c>
      <c r="E34" s="173"/>
      <c r="F34" s="163" t="s">
        <v>44</v>
      </c>
      <c r="G34" s="164">
        <v>156</v>
      </c>
      <c r="H34" s="164">
        <v>380</v>
      </c>
      <c r="I34" s="165">
        <v>403</v>
      </c>
      <c r="J34" s="168">
        <v>108</v>
      </c>
      <c r="K34" s="168">
        <v>403</v>
      </c>
      <c r="L34" s="175"/>
      <c r="M34" s="30"/>
      <c r="N34" s="275"/>
      <c r="O34" s="18">
        <f>L34</f>
        <v>0</v>
      </c>
      <c r="P34" s="275"/>
      <c r="Q34" s="21"/>
      <c r="R34" s="12"/>
      <c r="S34" s="21"/>
      <c r="T34" s="21"/>
      <c r="U34" s="21"/>
      <c r="V34" s="21">
        <f>R34+U34</f>
        <v>0</v>
      </c>
      <c r="W34" s="249" t="e">
        <f t="shared" si="3"/>
        <v>#DIV/0!</v>
      </c>
      <c r="X34" s="249" t="e">
        <f t="shared" si="4"/>
        <v>#DIV/0!</v>
      </c>
      <c r="Y34" s="12">
        <f t="shared" si="5"/>
        <v>0</v>
      </c>
      <c r="Z34" s="268"/>
      <c r="AA34" s="21"/>
      <c r="AB34" s="21"/>
      <c r="AC34" s="343"/>
    </row>
    <row r="35" spans="1:29" ht="15" x14ac:dyDescent="0.25">
      <c r="A35" s="312" t="s">
        <v>7</v>
      </c>
      <c r="B35" s="342">
        <v>3113</v>
      </c>
      <c r="C35" s="172">
        <v>5171</v>
      </c>
      <c r="D35" s="173">
        <v>1425</v>
      </c>
      <c r="E35" s="173"/>
      <c r="F35" s="163" t="s">
        <v>478</v>
      </c>
      <c r="G35" s="164">
        <v>562</v>
      </c>
      <c r="H35" s="164">
        <v>500</v>
      </c>
      <c r="I35" s="165">
        <v>500</v>
      </c>
      <c r="J35" s="168">
        <v>93</v>
      </c>
      <c r="K35" s="168">
        <v>500</v>
      </c>
      <c r="L35" s="175"/>
      <c r="M35" s="18">
        <f>SUM(L32:L35)</f>
        <v>0</v>
      </c>
      <c r="N35" s="275"/>
      <c r="O35" s="18">
        <f>L35</f>
        <v>0</v>
      </c>
      <c r="P35" s="18">
        <f>SUM(O32:O35)</f>
        <v>0</v>
      </c>
      <c r="Q35" s="21"/>
      <c r="R35" s="12">
        <v>1</v>
      </c>
      <c r="S35" s="18">
        <f>SUM(R32:R35)</f>
        <v>1</v>
      </c>
      <c r="T35" s="21"/>
      <c r="U35" s="21">
        <f>16</f>
        <v>16</v>
      </c>
      <c r="V35" s="21">
        <f>R35+U35</f>
        <v>17</v>
      </c>
      <c r="W35" s="249" t="e">
        <f t="shared" si="3"/>
        <v>#DIV/0!</v>
      </c>
      <c r="X35" s="249" t="e">
        <f t="shared" si="4"/>
        <v>#DIV/0!</v>
      </c>
      <c r="Y35" s="12">
        <f t="shared" si="5"/>
        <v>-17</v>
      </c>
      <c r="Z35" s="268"/>
      <c r="AA35" s="21"/>
      <c r="AB35" s="21"/>
      <c r="AC35" s="343"/>
    </row>
    <row r="36" spans="1:29" ht="15" x14ac:dyDescent="0.25">
      <c r="A36" s="313" t="s">
        <v>486</v>
      </c>
      <c r="B36" s="345">
        <v>3113</v>
      </c>
      <c r="C36" s="162">
        <v>5321</v>
      </c>
      <c r="D36" s="167"/>
      <c r="E36" s="167"/>
      <c r="F36" s="163" t="s">
        <v>97</v>
      </c>
      <c r="G36" s="164">
        <v>91</v>
      </c>
      <c r="H36" s="181">
        <v>0</v>
      </c>
      <c r="I36" s="174">
        <v>0</v>
      </c>
      <c r="J36" s="174">
        <v>0</v>
      </c>
      <c r="K36" s="174">
        <v>0</v>
      </c>
      <c r="L36" s="175"/>
      <c r="M36" s="30"/>
      <c r="N36" s="275"/>
      <c r="O36" s="275"/>
      <c r="P36" s="275"/>
      <c r="Q36" s="21"/>
      <c r="R36" s="12"/>
      <c r="S36" s="21"/>
      <c r="T36" s="21"/>
      <c r="U36" s="21"/>
      <c r="V36" s="21"/>
      <c r="W36" s="344"/>
      <c r="X36" s="344"/>
      <c r="Y36" s="21"/>
      <c r="Z36" s="268"/>
      <c r="AA36" s="21"/>
      <c r="AB36" s="21"/>
      <c r="AC36" s="343"/>
    </row>
    <row r="37" spans="1:29" ht="15" x14ac:dyDescent="0.25">
      <c r="A37" s="312" t="s">
        <v>486</v>
      </c>
      <c r="B37" s="346">
        <v>3113</v>
      </c>
      <c r="C37" s="309">
        <v>5331</v>
      </c>
      <c r="D37" s="246">
        <v>142101</v>
      </c>
      <c r="E37" s="246"/>
      <c r="F37" s="244" t="s">
        <v>98</v>
      </c>
      <c r="G37" s="245">
        <v>2570</v>
      </c>
      <c r="H37" s="245">
        <v>2592</v>
      </c>
      <c r="I37" s="310">
        <f t="shared" ref="I37:I42" si="9">H37</f>
        <v>2592</v>
      </c>
      <c r="J37" s="310">
        <v>1294</v>
      </c>
      <c r="K37" s="310">
        <v>2992</v>
      </c>
      <c r="L37" s="245"/>
      <c r="M37" s="241"/>
      <c r="N37" s="347"/>
      <c r="O37" s="239">
        <f t="shared" ref="O37:O46" si="10">L37</f>
        <v>0</v>
      </c>
      <c r="P37" s="347"/>
      <c r="Q37" s="348"/>
      <c r="R37" s="238">
        <v>648</v>
      </c>
      <c r="S37" s="348"/>
      <c r="T37" s="348"/>
      <c r="U37" s="348"/>
      <c r="V37" s="348">
        <f t="shared" ref="V37:V46" si="11">R37+U37</f>
        <v>648</v>
      </c>
      <c r="W37" s="349" t="e">
        <f t="shared" ref="W37:W46" si="12">R37/O37</f>
        <v>#DIV/0!</v>
      </c>
      <c r="X37" s="349" t="e">
        <f t="shared" ref="X37:X46" si="13">V37/O37</f>
        <v>#DIV/0!</v>
      </c>
      <c r="Y37" s="238">
        <f t="shared" ref="Y37:Y46" si="14">O37-V37</f>
        <v>-648</v>
      </c>
      <c r="Z37" s="350"/>
      <c r="AA37" s="238">
        <f t="shared" ref="AA37:AA42" si="15">O37*19.94/100</f>
        <v>0</v>
      </c>
      <c r="AB37" s="348"/>
      <c r="AC37" s="351"/>
    </row>
    <row r="38" spans="1:29" ht="15" x14ac:dyDescent="0.25">
      <c r="A38" s="312" t="s">
        <v>486</v>
      </c>
      <c r="B38" s="346">
        <v>3113</v>
      </c>
      <c r="C38" s="309">
        <v>5331</v>
      </c>
      <c r="D38" s="246">
        <v>142102</v>
      </c>
      <c r="E38" s="246"/>
      <c r="F38" s="244" t="s">
        <v>161</v>
      </c>
      <c r="G38" s="245">
        <v>0</v>
      </c>
      <c r="H38" s="245">
        <v>50</v>
      </c>
      <c r="I38" s="310">
        <f t="shared" si="9"/>
        <v>50</v>
      </c>
      <c r="J38" s="310">
        <v>25</v>
      </c>
      <c r="K38" s="310">
        <v>50</v>
      </c>
      <c r="L38" s="245"/>
      <c r="M38" s="241"/>
      <c r="N38" s="347"/>
      <c r="O38" s="239">
        <f t="shared" si="10"/>
        <v>0</v>
      </c>
      <c r="P38" s="347"/>
      <c r="Q38" s="348"/>
      <c r="R38" s="238">
        <v>12</v>
      </c>
      <c r="S38" s="348"/>
      <c r="T38" s="348"/>
      <c r="U38" s="348"/>
      <c r="V38" s="348">
        <f t="shared" si="11"/>
        <v>12</v>
      </c>
      <c r="W38" s="349" t="e">
        <f t="shared" si="12"/>
        <v>#DIV/0!</v>
      </c>
      <c r="X38" s="349" t="e">
        <f t="shared" si="13"/>
        <v>#DIV/0!</v>
      </c>
      <c r="Y38" s="238">
        <f t="shared" si="14"/>
        <v>-12</v>
      </c>
      <c r="Z38" s="350"/>
      <c r="AA38" s="238">
        <f t="shared" si="15"/>
        <v>0</v>
      </c>
      <c r="AB38" s="348"/>
      <c r="AC38" s="351"/>
    </row>
    <row r="39" spans="1:29" ht="15" x14ac:dyDescent="0.25">
      <c r="A39" s="312" t="s">
        <v>486</v>
      </c>
      <c r="B39" s="346">
        <v>3113</v>
      </c>
      <c r="C39" s="309">
        <v>5331</v>
      </c>
      <c r="D39" s="246">
        <v>142103</v>
      </c>
      <c r="E39" s="246"/>
      <c r="F39" s="244" t="s">
        <v>162</v>
      </c>
      <c r="G39" s="245">
        <v>0</v>
      </c>
      <c r="H39" s="245">
        <v>100</v>
      </c>
      <c r="I39" s="310">
        <f t="shared" si="9"/>
        <v>100</v>
      </c>
      <c r="J39" s="310">
        <v>50</v>
      </c>
      <c r="K39" s="310">
        <v>100</v>
      </c>
      <c r="L39" s="245"/>
      <c r="M39" s="239">
        <f>SUM(L37:L39)</f>
        <v>0</v>
      </c>
      <c r="N39" s="347"/>
      <c r="O39" s="239">
        <f t="shared" si="10"/>
        <v>0</v>
      </c>
      <c r="P39" s="239">
        <f>SUM(O37:O39)</f>
        <v>0</v>
      </c>
      <c r="Q39" s="348"/>
      <c r="R39" s="238">
        <v>25</v>
      </c>
      <c r="S39" s="239">
        <f>SUM(R37:R39)</f>
        <v>685</v>
      </c>
      <c r="T39" s="348"/>
      <c r="U39" s="348"/>
      <c r="V39" s="348">
        <f t="shared" si="11"/>
        <v>25</v>
      </c>
      <c r="W39" s="349" t="e">
        <f t="shared" si="12"/>
        <v>#DIV/0!</v>
      </c>
      <c r="X39" s="349" t="e">
        <f t="shared" si="13"/>
        <v>#DIV/0!</v>
      </c>
      <c r="Y39" s="238">
        <f t="shared" si="14"/>
        <v>-25</v>
      </c>
      <c r="Z39" s="350"/>
      <c r="AA39" s="238">
        <f t="shared" si="15"/>
        <v>0</v>
      </c>
      <c r="AB39" s="348"/>
      <c r="AC39" s="351"/>
    </row>
    <row r="40" spans="1:29" ht="15" x14ac:dyDescent="0.25">
      <c r="A40" s="312" t="s">
        <v>486</v>
      </c>
      <c r="B40" s="346">
        <v>3113</v>
      </c>
      <c r="C40" s="309">
        <v>5331</v>
      </c>
      <c r="D40" s="246">
        <v>1423</v>
      </c>
      <c r="E40" s="246"/>
      <c r="F40" s="244" t="s">
        <v>163</v>
      </c>
      <c r="G40" s="245">
        <v>1731</v>
      </c>
      <c r="H40" s="245">
        <f>1742+35</f>
        <v>1777</v>
      </c>
      <c r="I40" s="310">
        <f t="shared" si="9"/>
        <v>1777</v>
      </c>
      <c r="J40" s="310">
        <v>888</v>
      </c>
      <c r="K40" s="310">
        <v>1977</v>
      </c>
      <c r="L40" s="245"/>
      <c r="M40" s="239">
        <f t="shared" ref="M40:M46" si="16">L40</f>
        <v>0</v>
      </c>
      <c r="N40" s="347"/>
      <c r="O40" s="239">
        <f t="shared" si="10"/>
        <v>0</v>
      </c>
      <c r="P40" s="239">
        <f t="shared" ref="P40:P46" si="17">O40</f>
        <v>0</v>
      </c>
      <c r="Q40" s="348"/>
      <c r="R40" s="238">
        <v>444</v>
      </c>
      <c r="S40" s="239">
        <f t="shared" ref="S40:S46" si="18">R40</f>
        <v>444</v>
      </c>
      <c r="T40" s="348"/>
      <c r="U40" s="348"/>
      <c r="V40" s="348">
        <f t="shared" si="11"/>
        <v>444</v>
      </c>
      <c r="W40" s="349" t="e">
        <f t="shared" si="12"/>
        <v>#DIV/0!</v>
      </c>
      <c r="X40" s="349" t="e">
        <f t="shared" si="13"/>
        <v>#DIV/0!</v>
      </c>
      <c r="Y40" s="238">
        <f t="shared" si="14"/>
        <v>-444</v>
      </c>
      <c r="Z40" s="350"/>
      <c r="AA40" s="238">
        <f t="shared" si="15"/>
        <v>0</v>
      </c>
      <c r="AB40" s="348"/>
      <c r="AC40" s="351"/>
    </row>
    <row r="41" spans="1:29" ht="15" x14ac:dyDescent="0.25">
      <c r="A41" s="312" t="s">
        <v>486</v>
      </c>
      <c r="B41" s="346">
        <v>3113</v>
      </c>
      <c r="C41" s="309">
        <v>5331</v>
      </c>
      <c r="D41" s="246">
        <v>1424</v>
      </c>
      <c r="E41" s="246"/>
      <c r="F41" s="244" t="s">
        <v>500</v>
      </c>
      <c r="G41" s="245">
        <v>1793</v>
      </c>
      <c r="H41" s="245">
        <f>1786+35</f>
        <v>1821</v>
      </c>
      <c r="I41" s="310">
        <f t="shared" si="9"/>
        <v>1821</v>
      </c>
      <c r="J41" s="310">
        <v>910</v>
      </c>
      <c r="K41" s="310">
        <v>1821</v>
      </c>
      <c r="L41" s="245"/>
      <c r="M41" s="239">
        <f t="shared" si="16"/>
        <v>0</v>
      </c>
      <c r="N41" s="347"/>
      <c r="O41" s="239">
        <f t="shared" si="10"/>
        <v>0</v>
      </c>
      <c r="P41" s="239">
        <f t="shared" si="17"/>
        <v>0</v>
      </c>
      <c r="Q41" s="348"/>
      <c r="R41" s="238">
        <v>459</v>
      </c>
      <c r="S41" s="239">
        <f t="shared" si="18"/>
        <v>459</v>
      </c>
      <c r="T41" s="348"/>
      <c r="U41" s="348"/>
      <c r="V41" s="348">
        <f t="shared" si="11"/>
        <v>459</v>
      </c>
      <c r="W41" s="349" t="e">
        <f t="shared" si="12"/>
        <v>#DIV/0!</v>
      </c>
      <c r="X41" s="349" t="e">
        <f t="shared" si="13"/>
        <v>#DIV/0!</v>
      </c>
      <c r="Y41" s="238">
        <f t="shared" si="14"/>
        <v>-459</v>
      </c>
      <c r="Z41" s="350"/>
      <c r="AA41" s="238">
        <f t="shared" si="15"/>
        <v>0</v>
      </c>
      <c r="AB41" s="348"/>
      <c r="AC41" s="351"/>
    </row>
    <row r="42" spans="1:29" ht="15" x14ac:dyDescent="0.25">
      <c r="A42" s="312" t="s">
        <v>486</v>
      </c>
      <c r="B42" s="346">
        <v>3113</v>
      </c>
      <c r="C42" s="309">
        <v>5331</v>
      </c>
      <c r="D42" s="246">
        <v>1425</v>
      </c>
      <c r="E42" s="246"/>
      <c r="F42" s="244" t="s">
        <v>439</v>
      </c>
      <c r="G42" s="245">
        <v>2080</v>
      </c>
      <c r="H42" s="245">
        <f>2052+40</f>
        <v>2092</v>
      </c>
      <c r="I42" s="310">
        <f t="shared" si="9"/>
        <v>2092</v>
      </c>
      <c r="J42" s="310">
        <v>1049</v>
      </c>
      <c r="K42" s="310">
        <v>2092</v>
      </c>
      <c r="L42" s="245"/>
      <c r="M42" s="239">
        <f t="shared" si="16"/>
        <v>0</v>
      </c>
      <c r="N42" s="347"/>
      <c r="O42" s="239">
        <f t="shared" si="10"/>
        <v>0</v>
      </c>
      <c r="P42" s="239">
        <f t="shared" si="17"/>
        <v>0</v>
      </c>
      <c r="Q42" s="348"/>
      <c r="R42" s="238">
        <v>532</v>
      </c>
      <c r="S42" s="239">
        <f t="shared" si="18"/>
        <v>532</v>
      </c>
      <c r="T42" s="348"/>
      <c r="U42" s="348"/>
      <c r="V42" s="348">
        <f t="shared" si="11"/>
        <v>532</v>
      </c>
      <c r="W42" s="349" t="e">
        <f t="shared" si="12"/>
        <v>#DIV/0!</v>
      </c>
      <c r="X42" s="349" t="e">
        <f t="shared" si="13"/>
        <v>#DIV/0!</v>
      </c>
      <c r="Y42" s="238">
        <f t="shared" si="14"/>
        <v>-532</v>
      </c>
      <c r="Z42" s="350"/>
      <c r="AA42" s="238">
        <f t="shared" si="15"/>
        <v>0</v>
      </c>
      <c r="AB42" s="348"/>
      <c r="AC42" s="351"/>
    </row>
    <row r="43" spans="1:29" ht="15" x14ac:dyDescent="0.25">
      <c r="A43" s="312" t="s">
        <v>486</v>
      </c>
      <c r="B43" s="342">
        <v>3113</v>
      </c>
      <c r="C43" s="172">
        <v>5331</v>
      </c>
      <c r="D43" s="173">
        <v>1421</v>
      </c>
      <c r="E43" s="173">
        <v>33353</v>
      </c>
      <c r="F43" s="170" t="s">
        <v>175</v>
      </c>
      <c r="G43" s="164">
        <v>11400</v>
      </c>
      <c r="H43" s="164">
        <v>0</v>
      </c>
      <c r="I43" s="165">
        <f>12116+6+48</f>
        <v>12170</v>
      </c>
      <c r="J43" s="174">
        <v>6561</v>
      </c>
      <c r="K43" s="174">
        <v>12170</v>
      </c>
      <c r="L43" s="175"/>
      <c r="M43" s="18">
        <f t="shared" si="16"/>
        <v>0</v>
      </c>
      <c r="N43" s="275"/>
      <c r="O43" s="18">
        <f t="shared" si="10"/>
        <v>0</v>
      </c>
      <c r="P43" s="18">
        <f t="shared" si="17"/>
        <v>0</v>
      </c>
      <c r="Q43" s="21"/>
      <c r="R43" s="12">
        <v>2183</v>
      </c>
      <c r="S43" s="18">
        <f t="shared" si="18"/>
        <v>2183</v>
      </c>
      <c r="T43" s="21"/>
      <c r="U43" s="12"/>
      <c r="V43" s="12">
        <f t="shared" si="11"/>
        <v>2183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-2183</v>
      </c>
      <c r="Z43" s="268"/>
      <c r="AA43" s="21"/>
      <c r="AB43" s="21"/>
      <c r="AC43" s="343"/>
    </row>
    <row r="44" spans="1:29" ht="15" x14ac:dyDescent="0.25">
      <c r="A44" s="312" t="s">
        <v>486</v>
      </c>
      <c r="B44" s="342">
        <v>3113</v>
      </c>
      <c r="C44" s="172">
        <v>5331</v>
      </c>
      <c r="D44" s="173">
        <v>1423</v>
      </c>
      <c r="E44" s="173">
        <v>33353</v>
      </c>
      <c r="F44" s="170" t="s">
        <v>255</v>
      </c>
      <c r="G44" s="164">
        <v>9683</v>
      </c>
      <c r="H44" s="164">
        <v>0</v>
      </c>
      <c r="I44" s="165">
        <f>10768+206+43</f>
        <v>11017</v>
      </c>
      <c r="J44" s="174">
        <v>5486</v>
      </c>
      <c r="K44" s="174">
        <v>11017</v>
      </c>
      <c r="L44" s="175"/>
      <c r="M44" s="18">
        <f t="shared" si="16"/>
        <v>0</v>
      </c>
      <c r="N44" s="275"/>
      <c r="O44" s="18">
        <f t="shared" si="10"/>
        <v>0</v>
      </c>
      <c r="P44" s="18">
        <f t="shared" si="17"/>
        <v>0</v>
      </c>
      <c r="Q44" s="21"/>
      <c r="R44" s="12">
        <v>1957</v>
      </c>
      <c r="S44" s="18">
        <f t="shared" si="18"/>
        <v>1957</v>
      </c>
      <c r="T44" s="21"/>
      <c r="U44" s="12"/>
      <c r="V44" s="12">
        <f t="shared" si="11"/>
        <v>1957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-1957</v>
      </c>
      <c r="Z44" s="268"/>
      <c r="AA44" s="21"/>
      <c r="AB44" s="21"/>
      <c r="AC44" s="343"/>
    </row>
    <row r="45" spans="1:29" ht="15" x14ac:dyDescent="0.25">
      <c r="A45" s="312" t="s">
        <v>486</v>
      </c>
      <c r="B45" s="342">
        <v>3113</v>
      </c>
      <c r="C45" s="172">
        <v>5331</v>
      </c>
      <c r="D45" s="173">
        <v>1424</v>
      </c>
      <c r="E45" s="173">
        <v>33353</v>
      </c>
      <c r="F45" s="170" t="s">
        <v>221</v>
      </c>
      <c r="G45" s="164">
        <v>10649</v>
      </c>
      <c r="H45" s="164">
        <v>0</v>
      </c>
      <c r="I45" s="165">
        <f>11644+93+41</f>
        <v>11778</v>
      </c>
      <c r="J45" s="174">
        <v>6268</v>
      </c>
      <c r="K45" s="174">
        <v>11778</v>
      </c>
      <c r="L45" s="175"/>
      <c r="M45" s="18">
        <f t="shared" si="16"/>
        <v>0</v>
      </c>
      <c r="N45" s="275"/>
      <c r="O45" s="18">
        <f t="shared" si="10"/>
        <v>0</v>
      </c>
      <c r="P45" s="18">
        <f t="shared" si="17"/>
        <v>0</v>
      </c>
      <c r="Q45" s="21"/>
      <c r="R45" s="12">
        <v>2070</v>
      </c>
      <c r="S45" s="18">
        <f t="shared" si="18"/>
        <v>2070</v>
      </c>
      <c r="T45" s="21"/>
      <c r="U45" s="12"/>
      <c r="V45" s="12">
        <f t="shared" si="11"/>
        <v>2070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-2070</v>
      </c>
      <c r="Z45" s="268"/>
      <c r="AA45" s="21"/>
      <c r="AB45" s="21"/>
      <c r="AC45" s="343"/>
    </row>
    <row r="46" spans="1:29" ht="15" x14ac:dyDescent="0.25">
      <c r="A46" s="312" t="s">
        <v>486</v>
      </c>
      <c r="B46" s="342">
        <v>3113</v>
      </c>
      <c r="C46" s="172">
        <v>5331</v>
      </c>
      <c r="D46" s="173">
        <v>1425</v>
      </c>
      <c r="E46" s="173">
        <v>33353</v>
      </c>
      <c r="F46" s="170" t="s">
        <v>443</v>
      </c>
      <c r="G46" s="164">
        <v>13245</v>
      </c>
      <c r="H46" s="164">
        <v>0</v>
      </c>
      <c r="I46" s="165">
        <f>15932+55</f>
        <v>15987</v>
      </c>
      <c r="J46" s="174">
        <v>7966</v>
      </c>
      <c r="K46" s="174">
        <v>15987</v>
      </c>
      <c r="L46" s="175"/>
      <c r="M46" s="18">
        <f t="shared" si="16"/>
        <v>0</v>
      </c>
      <c r="N46" s="275"/>
      <c r="O46" s="18">
        <f t="shared" si="10"/>
        <v>0</v>
      </c>
      <c r="P46" s="18">
        <f t="shared" si="17"/>
        <v>0</v>
      </c>
      <c r="Q46" s="21"/>
      <c r="R46" s="12">
        <v>2819</v>
      </c>
      <c r="S46" s="18">
        <f t="shared" si="18"/>
        <v>2819</v>
      </c>
      <c r="T46" s="21"/>
      <c r="U46" s="12"/>
      <c r="V46" s="12">
        <f t="shared" si="11"/>
        <v>2819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-2819</v>
      </c>
      <c r="Z46" s="268"/>
      <c r="AA46" s="21"/>
      <c r="AB46" s="21"/>
      <c r="AC46" s="343"/>
    </row>
    <row r="47" spans="1:29" ht="15" x14ac:dyDescent="0.25">
      <c r="A47" s="313" t="s">
        <v>486</v>
      </c>
      <c r="B47" s="345">
        <v>3113</v>
      </c>
      <c r="C47" s="162">
        <v>5901</v>
      </c>
      <c r="D47" s="167"/>
      <c r="E47" s="167"/>
      <c r="F47" s="163" t="s">
        <v>503</v>
      </c>
      <c r="G47" s="164">
        <v>0</v>
      </c>
      <c r="H47" s="181">
        <f>0+20</f>
        <v>20</v>
      </c>
      <c r="I47" s="174">
        <f>H47</f>
        <v>20</v>
      </c>
      <c r="J47" s="174">
        <v>0</v>
      </c>
      <c r="K47" s="174">
        <v>0</v>
      </c>
      <c r="L47" s="175"/>
      <c r="M47" s="30"/>
      <c r="N47" s="275"/>
      <c r="O47" s="275"/>
      <c r="P47" s="275"/>
      <c r="Q47" s="21"/>
      <c r="R47" s="12"/>
      <c r="S47" s="21"/>
      <c r="T47" s="21"/>
      <c r="U47" s="12"/>
      <c r="V47" s="12"/>
      <c r="W47" s="344"/>
      <c r="X47" s="344"/>
      <c r="Y47" s="21"/>
      <c r="Z47" s="268"/>
      <c r="AA47" s="21"/>
      <c r="AB47" s="21"/>
      <c r="AC47" s="343"/>
    </row>
    <row r="48" spans="1:29" ht="15" x14ac:dyDescent="0.25">
      <c r="A48" s="312" t="s">
        <v>7</v>
      </c>
      <c r="B48" s="301">
        <v>3113</v>
      </c>
      <c r="C48" s="171">
        <v>5171</v>
      </c>
      <c r="D48" s="171">
        <v>142501</v>
      </c>
      <c r="E48" s="179"/>
      <c r="F48" s="169" t="s">
        <v>402</v>
      </c>
      <c r="G48" s="164"/>
      <c r="H48" s="181"/>
      <c r="I48" s="174"/>
      <c r="J48" s="174"/>
      <c r="K48" s="174"/>
      <c r="L48" s="175"/>
      <c r="M48" s="18">
        <f>L48</f>
        <v>0</v>
      </c>
      <c r="N48" s="275"/>
      <c r="O48" s="18">
        <f>L48</f>
        <v>0</v>
      </c>
      <c r="P48" s="18">
        <f>O48</f>
        <v>0</v>
      </c>
      <c r="Q48" s="21"/>
      <c r="R48" s="12"/>
      <c r="S48" s="18">
        <f>R48</f>
        <v>0</v>
      </c>
      <c r="T48" s="21"/>
      <c r="U48" s="12"/>
      <c r="V48" s="12">
        <f>R48+U48</f>
        <v>0</v>
      </c>
      <c r="W48" s="249" t="e">
        <f>R48/O48</f>
        <v>#DIV/0!</v>
      </c>
      <c r="X48" s="249" t="e">
        <f>V48/O48</f>
        <v>#DIV/0!</v>
      </c>
      <c r="Y48" s="12">
        <f>O48-V48</f>
        <v>0</v>
      </c>
      <c r="Z48" s="268" t="s">
        <v>281</v>
      </c>
      <c r="AA48" s="21"/>
      <c r="AB48" s="21"/>
      <c r="AC48" s="343"/>
    </row>
    <row r="49" spans="1:29" ht="15" x14ac:dyDescent="0.25">
      <c r="A49" s="314" t="s">
        <v>7</v>
      </c>
      <c r="B49" s="303">
        <v>3113</v>
      </c>
      <c r="C49" s="202">
        <v>6121</v>
      </c>
      <c r="D49" s="204">
        <v>142101</v>
      </c>
      <c r="E49" s="203"/>
      <c r="F49" s="185" t="s">
        <v>489</v>
      </c>
      <c r="G49" s="164"/>
      <c r="H49" s="181"/>
      <c r="I49" s="176"/>
      <c r="J49" s="176"/>
      <c r="K49" s="176"/>
      <c r="L49" s="24"/>
      <c r="M49" s="255"/>
      <c r="N49" s="354">
        <f>L49</f>
        <v>0</v>
      </c>
      <c r="O49" s="296">
        <f>L49</f>
        <v>0</v>
      </c>
      <c r="P49" s="297"/>
      <c r="Q49" s="354">
        <f>O49</f>
        <v>0</v>
      </c>
      <c r="R49" s="355"/>
      <c r="S49" s="356"/>
      <c r="T49" s="353">
        <f>R49</f>
        <v>0</v>
      </c>
      <c r="U49" s="296"/>
      <c r="V49" s="296">
        <f>R49+U49</f>
        <v>0</v>
      </c>
      <c r="W49" s="250" t="e">
        <f>R49/O49</f>
        <v>#DIV/0!</v>
      </c>
      <c r="X49" s="250" t="e">
        <f>V49/O49</f>
        <v>#DIV/0!</v>
      </c>
      <c r="Y49" s="296">
        <f>O49-V49</f>
        <v>0</v>
      </c>
      <c r="Z49" s="357" t="s">
        <v>281</v>
      </c>
      <c r="AA49" s="21"/>
      <c r="AB49" s="21"/>
      <c r="AC49" s="343"/>
    </row>
    <row r="50" spans="1:29" ht="15" x14ac:dyDescent="0.25">
      <c r="A50" s="314" t="s">
        <v>7</v>
      </c>
      <c r="B50" s="303">
        <v>3113</v>
      </c>
      <c r="C50" s="202">
        <v>6121</v>
      </c>
      <c r="D50" s="204">
        <v>1424</v>
      </c>
      <c r="E50" s="203"/>
      <c r="F50" s="185" t="s">
        <v>64</v>
      </c>
      <c r="G50" s="164"/>
      <c r="H50" s="181"/>
      <c r="I50" s="176"/>
      <c r="J50" s="176"/>
      <c r="K50" s="176"/>
      <c r="L50" s="24"/>
      <c r="M50" s="255"/>
      <c r="N50" s="297"/>
      <c r="O50" s="275"/>
      <c r="P50" s="297"/>
      <c r="Q50" s="297"/>
      <c r="R50" s="296"/>
      <c r="S50" s="297"/>
      <c r="T50" s="297"/>
      <c r="U50" s="296"/>
      <c r="V50" s="296"/>
      <c r="W50" s="358"/>
      <c r="X50" s="358"/>
      <c r="Y50" s="275"/>
      <c r="Z50" s="357"/>
      <c r="AA50" s="21"/>
      <c r="AB50" s="21"/>
      <c r="AC50" s="343"/>
    </row>
    <row r="51" spans="1:29" ht="15" x14ac:dyDescent="0.25">
      <c r="A51" s="314" t="s">
        <v>7</v>
      </c>
      <c r="B51" s="303">
        <v>3113</v>
      </c>
      <c r="C51" s="202">
        <v>6121</v>
      </c>
      <c r="D51" s="204">
        <v>142121</v>
      </c>
      <c r="E51" s="203"/>
      <c r="F51" s="185" t="s">
        <v>95</v>
      </c>
      <c r="G51" s="164"/>
      <c r="H51" s="181"/>
      <c r="I51" s="176"/>
      <c r="J51" s="176"/>
      <c r="K51" s="176"/>
      <c r="L51" s="24"/>
      <c r="M51" s="255"/>
      <c r="N51" s="353">
        <f>L51</f>
        <v>0</v>
      </c>
      <c r="O51" s="296">
        <f>L51</f>
        <v>0</v>
      </c>
      <c r="P51" s="297"/>
      <c r="Q51" s="353">
        <f>O51</f>
        <v>0</v>
      </c>
      <c r="R51" s="296"/>
      <c r="S51" s="297"/>
      <c r="T51" s="353">
        <f>R51</f>
        <v>0</v>
      </c>
      <c r="U51" s="296"/>
      <c r="V51" s="296">
        <f>R51+U51</f>
        <v>0</v>
      </c>
      <c r="W51" s="250" t="e">
        <f t="shared" ref="W51:W64" si="19">R51/O51</f>
        <v>#DIV/0!</v>
      </c>
      <c r="X51" s="250" t="e">
        <f t="shared" ref="X51:X64" si="20">V51/O51</f>
        <v>#DIV/0!</v>
      </c>
      <c r="Y51" s="296">
        <f t="shared" ref="Y51:Y64" si="21">O51-V51</f>
        <v>0</v>
      </c>
      <c r="Z51" s="357" t="s">
        <v>281</v>
      </c>
      <c r="AA51" s="21"/>
      <c r="AB51" s="21"/>
      <c r="AC51" s="343"/>
    </row>
    <row r="52" spans="1:29" ht="15" x14ac:dyDescent="0.25">
      <c r="A52" s="314" t="s">
        <v>321</v>
      </c>
      <c r="B52" s="303">
        <v>3113</v>
      </c>
      <c r="C52" s="202">
        <v>6121</v>
      </c>
      <c r="D52" s="204">
        <v>142102</v>
      </c>
      <c r="E52" s="203"/>
      <c r="F52" s="185" t="s">
        <v>459</v>
      </c>
      <c r="G52" s="164"/>
      <c r="H52" s="181"/>
      <c r="I52" s="176"/>
      <c r="J52" s="176"/>
      <c r="K52" s="176"/>
      <c r="L52" s="24"/>
      <c r="M52" s="255"/>
      <c r="N52" s="353">
        <f>L52</f>
        <v>0</v>
      </c>
      <c r="O52" s="296">
        <f>L52</f>
        <v>0</v>
      </c>
      <c r="P52" s="297"/>
      <c r="Q52" s="353">
        <f>O52</f>
        <v>0</v>
      </c>
      <c r="R52" s="296"/>
      <c r="S52" s="297"/>
      <c r="T52" s="353">
        <f>R52</f>
        <v>0</v>
      </c>
      <c r="U52" s="296"/>
      <c r="V52" s="296">
        <f>R52+U52</f>
        <v>0</v>
      </c>
      <c r="W52" s="250" t="e">
        <f t="shared" si="19"/>
        <v>#DIV/0!</v>
      </c>
      <c r="X52" s="250" t="e">
        <f t="shared" si="20"/>
        <v>#DIV/0!</v>
      </c>
      <c r="Y52" s="296">
        <f t="shared" si="21"/>
        <v>0</v>
      </c>
      <c r="Z52" s="268"/>
      <c r="AA52" s="21"/>
      <c r="AB52" s="21"/>
      <c r="AC52" s="343"/>
    </row>
    <row r="53" spans="1:29" ht="15" x14ac:dyDescent="0.25">
      <c r="A53" s="311"/>
      <c r="B53" s="340">
        <v>3231</v>
      </c>
      <c r="C53" s="23"/>
      <c r="D53" s="27"/>
      <c r="E53" s="27"/>
      <c r="F53" s="16" t="s">
        <v>280</v>
      </c>
      <c r="G53" s="17">
        <f t="shared" ref="G53:Q53" si="22">SUM(G54:G61)</f>
        <v>13370</v>
      </c>
      <c r="H53" s="17">
        <f t="shared" si="22"/>
        <v>3232</v>
      </c>
      <c r="I53" s="17">
        <f t="shared" si="22"/>
        <v>14244</v>
      </c>
      <c r="J53" s="17">
        <f t="shared" si="22"/>
        <v>7008</v>
      </c>
      <c r="K53" s="17">
        <f t="shared" si="22"/>
        <v>14244</v>
      </c>
      <c r="L53" s="17">
        <f>SUM(L54:L57)</f>
        <v>0</v>
      </c>
      <c r="M53" s="17">
        <f t="shared" si="22"/>
        <v>0</v>
      </c>
      <c r="N53" s="124">
        <f t="shared" si="22"/>
        <v>0</v>
      </c>
      <c r="O53" s="17">
        <f>SUM(O54:O57)</f>
        <v>0</v>
      </c>
      <c r="P53" s="17">
        <f t="shared" si="22"/>
        <v>0</v>
      </c>
      <c r="Q53" s="124">
        <f t="shared" si="22"/>
        <v>0</v>
      </c>
      <c r="R53" s="17">
        <f>SUM(R54:R57)</f>
        <v>1424</v>
      </c>
      <c r="S53" s="17">
        <f>SUM(S54:S61)</f>
        <v>2341</v>
      </c>
      <c r="T53" s="124">
        <f>SUM(T54:T61)</f>
        <v>0</v>
      </c>
      <c r="U53" s="17">
        <f>SUM(U54:U57)</f>
        <v>6</v>
      </c>
      <c r="V53" s="17">
        <f>SUM(V54:V57)</f>
        <v>1430</v>
      </c>
      <c r="W53" s="341" t="e">
        <f t="shared" si="19"/>
        <v>#DIV/0!</v>
      </c>
      <c r="X53" s="341" t="e">
        <f t="shared" si="20"/>
        <v>#DIV/0!</v>
      </c>
      <c r="Y53" s="17">
        <f t="shared" si="21"/>
        <v>-1430</v>
      </c>
      <c r="Z53" s="268"/>
      <c r="AA53" s="17">
        <f>SUM(AA54:AA57)</f>
        <v>0</v>
      </c>
      <c r="AB53" s="17">
        <f>SUM(AB54:AB57)</f>
        <v>0</v>
      </c>
      <c r="AC53" s="304">
        <f>SUM(AC54:AC57)</f>
        <v>0</v>
      </c>
    </row>
    <row r="54" spans="1:29" ht="15" x14ac:dyDescent="0.25">
      <c r="A54" s="312" t="s">
        <v>7</v>
      </c>
      <c r="B54" s="342">
        <v>3231</v>
      </c>
      <c r="C54" s="172">
        <v>5166</v>
      </c>
      <c r="D54" s="173">
        <v>1440</v>
      </c>
      <c r="E54" s="173"/>
      <c r="F54" s="170" t="s">
        <v>85</v>
      </c>
      <c r="G54" s="175">
        <v>17</v>
      </c>
      <c r="H54" s="164">
        <v>22</v>
      </c>
      <c r="I54" s="165">
        <v>22</v>
      </c>
      <c r="J54" s="168">
        <v>0</v>
      </c>
      <c r="K54" s="168">
        <v>22</v>
      </c>
      <c r="L54" s="175"/>
      <c r="M54" s="18">
        <f>L54</f>
        <v>0</v>
      </c>
      <c r="N54" s="275"/>
      <c r="O54" s="18">
        <f>L54</f>
        <v>0</v>
      </c>
      <c r="P54" s="18">
        <f>O54</f>
        <v>0</v>
      </c>
      <c r="Q54" s="21"/>
      <c r="R54" s="21"/>
      <c r="S54" s="18">
        <f>R54</f>
        <v>0</v>
      </c>
      <c r="T54" s="21"/>
      <c r="U54" s="21"/>
      <c r="V54" s="12">
        <f>R54+U54</f>
        <v>0</v>
      </c>
      <c r="W54" s="249" t="e">
        <f t="shared" si="19"/>
        <v>#DIV/0!</v>
      </c>
      <c r="X54" s="249" t="e">
        <f t="shared" si="20"/>
        <v>#DIV/0!</v>
      </c>
      <c r="Y54" s="12">
        <f t="shared" si="21"/>
        <v>0</v>
      </c>
      <c r="Z54" s="268"/>
      <c r="AA54" s="21"/>
      <c r="AB54" s="21"/>
      <c r="AC54" s="343"/>
    </row>
    <row r="55" spans="1:29" ht="15" x14ac:dyDescent="0.25">
      <c r="A55" s="312" t="s">
        <v>7</v>
      </c>
      <c r="B55" s="342">
        <v>3231</v>
      </c>
      <c r="C55" s="172">
        <v>5171</v>
      </c>
      <c r="D55" s="173">
        <v>1440</v>
      </c>
      <c r="E55" s="173"/>
      <c r="F55" s="170" t="s">
        <v>195</v>
      </c>
      <c r="G55" s="175">
        <v>17</v>
      </c>
      <c r="H55" s="164">
        <v>100</v>
      </c>
      <c r="I55" s="165">
        <v>100</v>
      </c>
      <c r="J55" s="168">
        <v>66</v>
      </c>
      <c r="K55" s="168">
        <v>100</v>
      </c>
      <c r="L55" s="175"/>
      <c r="M55" s="18">
        <f>L55</f>
        <v>0</v>
      </c>
      <c r="N55" s="275"/>
      <c r="O55" s="18">
        <f>L55</f>
        <v>0</v>
      </c>
      <c r="P55" s="18">
        <f>O55</f>
        <v>0</v>
      </c>
      <c r="Q55" s="21"/>
      <c r="R55" s="21"/>
      <c r="S55" s="18">
        <f>R55</f>
        <v>0</v>
      </c>
      <c r="T55" s="21"/>
      <c r="U55" s="21">
        <f>1+5</f>
        <v>6</v>
      </c>
      <c r="V55" s="12">
        <f>R55+U55</f>
        <v>6</v>
      </c>
      <c r="W55" s="249" t="e">
        <f t="shared" si="19"/>
        <v>#DIV/0!</v>
      </c>
      <c r="X55" s="249" t="e">
        <f t="shared" si="20"/>
        <v>#DIV/0!</v>
      </c>
      <c r="Y55" s="12">
        <f t="shared" si="21"/>
        <v>-6</v>
      </c>
      <c r="Z55" s="268"/>
      <c r="AA55" s="21"/>
      <c r="AB55" s="21"/>
      <c r="AC55" s="343"/>
    </row>
    <row r="56" spans="1:29" ht="15" x14ac:dyDescent="0.25">
      <c r="A56" s="312" t="s">
        <v>486</v>
      </c>
      <c r="B56" s="346">
        <v>3231</v>
      </c>
      <c r="C56" s="309">
        <v>5331</v>
      </c>
      <c r="D56" s="246">
        <v>1440</v>
      </c>
      <c r="E56" s="246"/>
      <c r="F56" s="244" t="s">
        <v>406</v>
      </c>
      <c r="G56" s="245">
        <v>750</v>
      </c>
      <c r="H56" s="245">
        <v>750</v>
      </c>
      <c r="I56" s="310">
        <f>H56</f>
        <v>750</v>
      </c>
      <c r="J56" s="310">
        <v>375</v>
      </c>
      <c r="K56" s="310">
        <v>750</v>
      </c>
      <c r="L56" s="245"/>
      <c r="M56" s="239">
        <f>L56</f>
        <v>0</v>
      </c>
      <c r="N56" s="347"/>
      <c r="O56" s="239">
        <f>L56</f>
        <v>0</v>
      </c>
      <c r="P56" s="239">
        <f>O56</f>
        <v>0</v>
      </c>
      <c r="Q56" s="348"/>
      <c r="R56" s="348"/>
      <c r="S56" s="239">
        <f>R56</f>
        <v>0</v>
      </c>
      <c r="T56" s="348"/>
      <c r="U56" s="348">
        <f>0</f>
        <v>0</v>
      </c>
      <c r="V56" s="238">
        <f>R56+U56</f>
        <v>0</v>
      </c>
      <c r="W56" s="349" t="e">
        <f t="shared" si="19"/>
        <v>#DIV/0!</v>
      </c>
      <c r="X56" s="349" t="e">
        <f t="shared" si="20"/>
        <v>#DIV/0!</v>
      </c>
      <c r="Y56" s="238">
        <f t="shared" si="21"/>
        <v>0</v>
      </c>
      <c r="Z56" s="350"/>
      <c r="AA56" s="238">
        <f>O56*19.94/100</f>
        <v>0</v>
      </c>
      <c r="AB56" s="348"/>
      <c r="AC56" s="351"/>
    </row>
    <row r="57" spans="1:29" ht="15" x14ac:dyDescent="0.25">
      <c r="A57" s="312" t="s">
        <v>486</v>
      </c>
      <c r="B57" s="342">
        <v>3231</v>
      </c>
      <c r="C57" s="172">
        <v>5331</v>
      </c>
      <c r="D57" s="173">
        <v>1440</v>
      </c>
      <c r="E57" s="173">
        <v>33353</v>
      </c>
      <c r="F57" s="170" t="s">
        <v>216</v>
      </c>
      <c r="G57" s="175">
        <v>6674</v>
      </c>
      <c r="H57" s="164">
        <v>0</v>
      </c>
      <c r="I57" s="165">
        <f>7399+470</f>
        <v>7869</v>
      </c>
      <c r="J57" s="174">
        <v>3935</v>
      </c>
      <c r="K57" s="174">
        <v>7869</v>
      </c>
      <c r="L57" s="175"/>
      <c r="M57" s="18">
        <f>L57</f>
        <v>0</v>
      </c>
      <c r="N57" s="275"/>
      <c r="O57" s="175">
        <v>0</v>
      </c>
      <c r="P57" s="18">
        <f>O57</f>
        <v>0</v>
      </c>
      <c r="Q57" s="21"/>
      <c r="R57" s="175">
        <v>1424</v>
      </c>
      <c r="S57" s="18">
        <f>R57</f>
        <v>1424</v>
      </c>
      <c r="T57" s="21"/>
      <c r="U57" s="175"/>
      <c r="V57" s="12">
        <f>R57+U57</f>
        <v>1424</v>
      </c>
      <c r="W57" s="249" t="e">
        <f t="shared" si="19"/>
        <v>#DIV/0!</v>
      </c>
      <c r="X57" s="249" t="e">
        <f t="shared" si="20"/>
        <v>#DIV/0!</v>
      </c>
      <c r="Y57" s="12">
        <f t="shared" si="21"/>
        <v>-1424</v>
      </c>
      <c r="Z57" s="268"/>
      <c r="AA57" s="21"/>
      <c r="AB57" s="21"/>
      <c r="AC57" s="343"/>
    </row>
    <row r="58" spans="1:29" ht="15" x14ac:dyDescent="0.25">
      <c r="A58" s="311"/>
      <c r="B58" s="340">
        <v>3421</v>
      </c>
      <c r="C58" s="23"/>
      <c r="D58" s="27"/>
      <c r="E58" s="27"/>
      <c r="F58" s="16" t="s">
        <v>353</v>
      </c>
      <c r="G58" s="17">
        <f t="shared" ref="G58:Q58" si="23">SUM(G59:G64)</f>
        <v>5225</v>
      </c>
      <c r="H58" s="17">
        <f t="shared" si="23"/>
        <v>1830</v>
      </c>
      <c r="I58" s="17">
        <f t="shared" si="23"/>
        <v>4973</v>
      </c>
      <c r="J58" s="17">
        <f t="shared" si="23"/>
        <v>2427</v>
      </c>
      <c r="K58" s="17">
        <f t="shared" si="23"/>
        <v>4973</v>
      </c>
      <c r="L58" s="17">
        <f t="shared" si="23"/>
        <v>0</v>
      </c>
      <c r="M58" s="17">
        <f t="shared" si="23"/>
        <v>0</v>
      </c>
      <c r="N58" s="124">
        <f t="shared" si="23"/>
        <v>0</v>
      </c>
      <c r="O58" s="17">
        <f t="shared" si="23"/>
        <v>0</v>
      </c>
      <c r="P58" s="17">
        <f t="shared" si="23"/>
        <v>0</v>
      </c>
      <c r="Q58" s="124">
        <f t="shared" si="23"/>
        <v>0</v>
      </c>
      <c r="R58" s="17">
        <f>SUM(R59:R64)</f>
        <v>917</v>
      </c>
      <c r="S58" s="17">
        <f>SUM(S59:S64)</f>
        <v>917</v>
      </c>
      <c r="T58" s="124">
        <f>SUM(T59:T64)</f>
        <v>0</v>
      </c>
      <c r="U58" s="17">
        <f>SUM(U59:U64)</f>
        <v>203</v>
      </c>
      <c r="V58" s="17">
        <f>SUM(V59:V64)</f>
        <v>1120</v>
      </c>
      <c r="W58" s="341" t="e">
        <f t="shared" si="19"/>
        <v>#DIV/0!</v>
      </c>
      <c r="X58" s="341" t="e">
        <f t="shared" si="20"/>
        <v>#DIV/0!</v>
      </c>
      <c r="Y58" s="17">
        <f t="shared" si="21"/>
        <v>-1120</v>
      </c>
      <c r="Z58" s="268"/>
      <c r="AA58" s="17">
        <f>SUM(AA59:AA64)</f>
        <v>0</v>
      </c>
      <c r="AB58" s="17">
        <f>SUM(AB59:AB64)</f>
        <v>0</v>
      </c>
      <c r="AC58" s="304">
        <f>SUM(AC59:AC64)</f>
        <v>0</v>
      </c>
    </row>
    <row r="59" spans="1:29" ht="15" x14ac:dyDescent="0.25">
      <c r="A59" s="312" t="s">
        <v>7</v>
      </c>
      <c r="B59" s="342">
        <v>3421</v>
      </c>
      <c r="C59" s="172">
        <v>5171</v>
      </c>
      <c r="D59" s="173">
        <v>144201</v>
      </c>
      <c r="E59" s="173"/>
      <c r="F59" s="170" t="s">
        <v>18</v>
      </c>
      <c r="G59" s="175">
        <v>524</v>
      </c>
      <c r="H59" s="164">
        <v>370</v>
      </c>
      <c r="I59" s="165">
        <v>370</v>
      </c>
      <c r="J59" s="168">
        <v>116</v>
      </c>
      <c r="K59" s="168">
        <v>370</v>
      </c>
      <c r="L59" s="175"/>
      <c r="M59" s="18">
        <f>L59</f>
        <v>0</v>
      </c>
      <c r="N59" s="275"/>
      <c r="O59" s="18">
        <f t="shared" ref="O59:O64" si="24">L59</f>
        <v>0</v>
      </c>
      <c r="P59" s="18">
        <f>O59</f>
        <v>0</v>
      </c>
      <c r="Q59" s="21"/>
      <c r="R59" s="21"/>
      <c r="S59" s="18">
        <f>R59</f>
        <v>0</v>
      </c>
      <c r="T59" s="21"/>
      <c r="U59" s="21">
        <f>15+12+8+52+47+25+18+26</f>
        <v>203</v>
      </c>
      <c r="V59" s="21">
        <f t="shared" ref="V59:V64" si="25">R59+U59</f>
        <v>203</v>
      </c>
      <c r="W59" s="249" t="e">
        <f t="shared" si="19"/>
        <v>#DIV/0!</v>
      </c>
      <c r="X59" s="249" t="e">
        <f t="shared" si="20"/>
        <v>#DIV/0!</v>
      </c>
      <c r="Y59" s="12">
        <f t="shared" si="21"/>
        <v>-203</v>
      </c>
      <c r="Z59" s="268"/>
      <c r="AA59" s="21"/>
      <c r="AB59" s="21"/>
      <c r="AC59" s="343"/>
    </row>
    <row r="60" spans="1:29" ht="15" x14ac:dyDescent="0.25">
      <c r="A60" s="313" t="s">
        <v>7</v>
      </c>
      <c r="B60" s="345">
        <v>3421</v>
      </c>
      <c r="C60" s="162">
        <v>5171</v>
      </c>
      <c r="D60" s="167">
        <v>144202</v>
      </c>
      <c r="E60" s="167"/>
      <c r="F60" s="163" t="s">
        <v>315</v>
      </c>
      <c r="G60" s="164">
        <v>156</v>
      </c>
      <c r="H60" s="164">
        <v>150</v>
      </c>
      <c r="I60" s="165">
        <v>150</v>
      </c>
      <c r="J60" s="168">
        <v>87</v>
      </c>
      <c r="K60" s="168">
        <v>150</v>
      </c>
      <c r="L60" s="164"/>
      <c r="M60" s="30"/>
      <c r="N60" s="275"/>
      <c r="O60" s="18">
        <f t="shared" si="24"/>
        <v>0</v>
      </c>
      <c r="P60" s="275"/>
      <c r="Q60" s="21"/>
      <c r="R60" s="21"/>
      <c r="S60" s="21"/>
      <c r="T60" s="21"/>
      <c r="U60" s="21"/>
      <c r="V60" s="21">
        <f t="shared" si="25"/>
        <v>0</v>
      </c>
      <c r="W60" s="249" t="e">
        <f t="shared" si="19"/>
        <v>#DIV/0!</v>
      </c>
      <c r="X60" s="249" t="e">
        <f t="shared" si="20"/>
        <v>#DIV/0!</v>
      </c>
      <c r="Y60" s="12">
        <f t="shared" si="21"/>
        <v>0</v>
      </c>
      <c r="Z60" s="268"/>
      <c r="AA60" s="21"/>
      <c r="AB60" s="21"/>
      <c r="AC60" s="343"/>
    </row>
    <row r="61" spans="1:29" ht="15" x14ac:dyDescent="0.25">
      <c r="A61" s="313" t="s">
        <v>7</v>
      </c>
      <c r="B61" s="345">
        <v>3421</v>
      </c>
      <c r="C61" s="162">
        <v>5171</v>
      </c>
      <c r="D61" s="167">
        <v>144203</v>
      </c>
      <c r="E61" s="167"/>
      <c r="F61" s="163" t="s">
        <v>93</v>
      </c>
      <c r="G61" s="164">
        <v>7</v>
      </c>
      <c r="H61" s="164">
        <v>10</v>
      </c>
      <c r="I61" s="165">
        <v>10</v>
      </c>
      <c r="J61" s="168">
        <v>2</v>
      </c>
      <c r="K61" s="168">
        <v>10</v>
      </c>
      <c r="L61" s="175"/>
      <c r="M61" s="18">
        <f>SUM(L60:L61)</f>
        <v>0</v>
      </c>
      <c r="N61" s="275"/>
      <c r="O61" s="18">
        <f t="shared" si="24"/>
        <v>0</v>
      </c>
      <c r="P61" s="18">
        <f>SUM(O60:O61)</f>
        <v>0</v>
      </c>
      <c r="Q61" s="21"/>
      <c r="R61" s="21"/>
      <c r="S61" s="18">
        <f>SUM(R60:R61)</f>
        <v>0</v>
      </c>
      <c r="T61" s="21"/>
      <c r="U61" s="21"/>
      <c r="V61" s="21">
        <f t="shared" si="25"/>
        <v>0</v>
      </c>
      <c r="W61" s="249" t="e">
        <f t="shared" si="19"/>
        <v>#DIV/0!</v>
      </c>
      <c r="X61" s="249" t="e">
        <f t="shared" si="20"/>
        <v>#DIV/0!</v>
      </c>
      <c r="Y61" s="12">
        <f t="shared" si="21"/>
        <v>0</v>
      </c>
      <c r="Z61" s="268"/>
      <c r="AA61" s="21"/>
      <c r="AB61" s="21"/>
      <c r="AC61" s="343"/>
    </row>
    <row r="62" spans="1:29" ht="15" x14ac:dyDescent="0.25">
      <c r="A62" s="312" t="s">
        <v>7</v>
      </c>
      <c r="B62" s="301">
        <v>3421</v>
      </c>
      <c r="C62" s="171">
        <v>5171</v>
      </c>
      <c r="D62" s="173">
        <v>144204</v>
      </c>
      <c r="E62" s="179"/>
      <c r="F62" s="169" t="s">
        <v>480</v>
      </c>
      <c r="G62" s="164"/>
      <c r="H62" s="164"/>
      <c r="I62" s="165"/>
      <c r="J62" s="168"/>
      <c r="K62" s="168"/>
      <c r="L62" s="168"/>
      <c r="M62" s="18">
        <f>L62</f>
        <v>0</v>
      </c>
      <c r="N62" s="275"/>
      <c r="O62" s="18">
        <f t="shared" si="24"/>
        <v>0</v>
      </c>
      <c r="P62" s="18">
        <f>O62</f>
        <v>0</v>
      </c>
      <c r="Q62" s="21"/>
      <c r="R62" s="21"/>
      <c r="S62" s="18">
        <f>R62</f>
        <v>0</v>
      </c>
      <c r="T62" s="21"/>
      <c r="U62" s="21"/>
      <c r="V62" s="21">
        <f t="shared" si="25"/>
        <v>0</v>
      </c>
      <c r="W62" s="249" t="e">
        <f t="shared" si="19"/>
        <v>#DIV/0!</v>
      </c>
      <c r="X62" s="249" t="e">
        <f t="shared" si="20"/>
        <v>#DIV/0!</v>
      </c>
      <c r="Y62" s="12">
        <f t="shared" si="21"/>
        <v>0</v>
      </c>
      <c r="Z62" s="268"/>
      <c r="AA62" s="21"/>
      <c r="AB62" s="21"/>
      <c r="AC62" s="343"/>
    </row>
    <row r="63" spans="1:29" ht="15" x14ac:dyDescent="0.25">
      <c r="A63" s="312" t="s">
        <v>486</v>
      </c>
      <c r="B63" s="346">
        <v>3421</v>
      </c>
      <c r="C63" s="309">
        <v>5331</v>
      </c>
      <c r="D63" s="246">
        <v>1442</v>
      </c>
      <c r="E63" s="246"/>
      <c r="F63" s="244" t="s">
        <v>198</v>
      </c>
      <c r="G63" s="310">
        <v>1268</v>
      </c>
      <c r="H63" s="310">
        <v>1300</v>
      </c>
      <c r="I63" s="310">
        <v>927</v>
      </c>
      <c r="J63" s="310">
        <v>464</v>
      </c>
      <c r="K63" s="310">
        <v>927</v>
      </c>
      <c r="L63" s="245"/>
      <c r="M63" s="239">
        <f>L63</f>
        <v>0</v>
      </c>
      <c r="N63" s="347"/>
      <c r="O63" s="239">
        <f t="shared" si="24"/>
        <v>0</v>
      </c>
      <c r="P63" s="239">
        <f>O63</f>
        <v>0</v>
      </c>
      <c r="Q63" s="348"/>
      <c r="R63" s="348">
        <v>308</v>
      </c>
      <c r="S63" s="239">
        <f>R63</f>
        <v>308</v>
      </c>
      <c r="T63" s="348"/>
      <c r="U63" s="348"/>
      <c r="V63" s="348">
        <f t="shared" si="25"/>
        <v>308</v>
      </c>
      <c r="W63" s="349" t="e">
        <f t="shared" si="19"/>
        <v>#DIV/0!</v>
      </c>
      <c r="X63" s="349" t="e">
        <f t="shared" si="20"/>
        <v>#DIV/0!</v>
      </c>
      <c r="Y63" s="238">
        <f t="shared" si="21"/>
        <v>-308</v>
      </c>
      <c r="Z63" s="350"/>
      <c r="AA63" s="238">
        <f>O63*19.95/100</f>
        <v>0</v>
      </c>
      <c r="AB63" s="348"/>
      <c r="AC63" s="351"/>
    </row>
    <row r="64" spans="1:29" ht="15.75" thickBot="1" x14ac:dyDescent="0.3">
      <c r="A64" s="312" t="s">
        <v>486</v>
      </c>
      <c r="B64" s="359">
        <v>3421</v>
      </c>
      <c r="C64" s="360">
        <v>5331</v>
      </c>
      <c r="D64" s="361">
        <v>1442</v>
      </c>
      <c r="E64" s="362">
        <v>33353</v>
      </c>
      <c r="F64" s="363" t="s">
        <v>230</v>
      </c>
      <c r="G64" s="364">
        <v>3270</v>
      </c>
      <c r="H64" s="365">
        <v>0</v>
      </c>
      <c r="I64" s="366">
        <f>3272+244</f>
        <v>3516</v>
      </c>
      <c r="J64" s="364">
        <v>1758</v>
      </c>
      <c r="K64" s="364">
        <v>3516</v>
      </c>
      <c r="L64" s="367"/>
      <c r="M64" s="368">
        <f>L64</f>
        <v>0</v>
      </c>
      <c r="N64" s="369"/>
      <c r="O64" s="368">
        <f t="shared" si="24"/>
        <v>0</v>
      </c>
      <c r="P64" s="368">
        <f>O64</f>
        <v>0</v>
      </c>
      <c r="Q64" s="370"/>
      <c r="R64" s="370">
        <v>609</v>
      </c>
      <c r="S64" s="368">
        <f>R64</f>
        <v>609</v>
      </c>
      <c r="T64" s="370"/>
      <c r="U64" s="370"/>
      <c r="V64" s="370">
        <f t="shared" si="25"/>
        <v>609</v>
      </c>
      <c r="W64" s="371" t="e">
        <f t="shared" si="19"/>
        <v>#DIV/0!</v>
      </c>
      <c r="X64" s="371" t="e">
        <f t="shared" si="20"/>
        <v>#DIV/0!</v>
      </c>
      <c r="Y64" s="372">
        <f t="shared" si="21"/>
        <v>-609</v>
      </c>
      <c r="Z64" s="373"/>
      <c r="AA64" s="370"/>
      <c r="AB64" s="370"/>
      <c r="AC64" s="374"/>
    </row>
  </sheetData>
  <phoneticPr fontId="0" type="noConversion"/>
  <pageMargins left="0.78740157499999996" right="0.78740157499999996" top="0.984251969" bottom="0.984251969" header="0.4921259845" footer="0.4921259845"/>
  <pageSetup paperSize="9" scale="65" orientation="landscape" horizontalDpi="300" verticalDpi="300" r:id="rId1"/>
  <headerFooter alignWithMargins="0">
    <oddHeader>&amp;LMěsto Ostrov&amp;RStav ke dni:&amp;D</oddHeader>
    <oddFooter>&amp;LPříspěvek na školství v roce 2005&amp;C&amp;P&amp;RZpracoval: OF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Listy</vt:lpstr>
      </vt:variant>
      <vt:variant>
        <vt:i4>10</vt:i4>
      </vt:variant>
      <vt:variant>
        <vt:lpstr>Grafy</vt:lpstr>
      </vt:variant>
      <vt:variant>
        <vt:i4>4</vt:i4>
      </vt:variant>
      <vt:variant>
        <vt:lpstr>Pojmenované oblasti</vt:lpstr>
      </vt:variant>
      <vt:variant>
        <vt:i4>5</vt:i4>
      </vt:variant>
    </vt:vector>
  </HeadingPairs>
  <TitlesOfParts>
    <vt:vector size="19" baseType="lpstr">
      <vt:lpstr>Žádost</vt:lpstr>
      <vt:lpstr>Příjmy 2005</vt:lpstr>
      <vt:lpstr>Výdaje 2005</vt:lpstr>
      <vt:lpstr>FRB 2006</vt:lpstr>
      <vt:lpstr>FB 2006</vt:lpstr>
      <vt:lpstr>ÚZ 5 2006</vt:lpstr>
      <vt:lpstr>FRB-ÚZ 92242-2006</vt:lpstr>
      <vt:lpstr>HV 2006</vt:lpstr>
      <vt:lpstr>Školství</vt:lpstr>
      <vt:lpstr>Příspěvek</vt:lpstr>
      <vt:lpstr>Graf1- příjmy ve SR 2005</vt:lpstr>
      <vt:lpstr>Graf1-provnání  P</vt:lpstr>
      <vt:lpstr>Graf1-výdaje SR 2005</vt:lpstr>
      <vt:lpstr>Graf2- provnání V</vt:lpstr>
      <vt:lpstr>'FB 2006'!Názvy_tisku</vt:lpstr>
      <vt:lpstr>'FRB 2006'!Názvy_tisku</vt:lpstr>
      <vt:lpstr>Příspěvek!Názvy_tisku</vt:lpstr>
      <vt:lpstr>Školství!Názvy_tisku</vt:lpstr>
      <vt:lpstr>Žádost!Názvy_tisku</vt:lpstr>
    </vt:vector>
  </TitlesOfParts>
  <Company>Ostrov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Městský úřad</dc:creator>
  <cp:lastModifiedBy>Zdeňka Jancurová</cp:lastModifiedBy>
  <cp:lastPrinted>2021-11-24T08:33:55Z</cp:lastPrinted>
  <dcterms:created xsi:type="dcterms:W3CDTF">2003-09-02T05:56:17Z</dcterms:created>
  <dcterms:modified xsi:type="dcterms:W3CDTF">2021-12-09T13:16:48Z</dcterms:modified>
</cp:coreProperties>
</file>